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8800" windowHeight="13728" tabRatio="475" firstSheet="2" activeTab="4"/>
  </bookViews>
  <sheets>
    <sheet name="Profile" sheetId="18" r:id="rId1"/>
    <sheet name="nose on" sheetId="20" r:id="rId2"/>
    <sheet name="transom" sheetId="21" r:id="rId3"/>
    <sheet name="Plan view" sheetId="17" r:id="rId4"/>
    <sheet name="Plan &amp; profile data" sheetId="15" r:id="rId5"/>
    <sheet name="stretched Plan" sheetId="22" r:id="rId6"/>
    <sheet name="str profile" sheetId="23" r:id="rId7"/>
    <sheet name="OFFSETS" sheetId="19" r:id="rId8"/>
    <sheet name="chord L" sheetId="3" r:id="rId9"/>
  </sheets>
  <calcPr calcId="152511"/>
</workbook>
</file>

<file path=xl/calcChain.xml><?xml version="1.0" encoding="utf-8"?>
<calcChain xmlns="http://schemas.openxmlformats.org/spreadsheetml/2006/main">
  <c r="C14" i="15" l="1"/>
  <c r="B60" i="15" l="1"/>
  <c r="B59" i="15"/>
  <c r="B57" i="15"/>
  <c r="B56" i="15"/>
  <c r="B55" i="15"/>
  <c r="B65" i="15"/>
  <c r="B64" i="15" s="1"/>
  <c r="B63" i="15" s="1"/>
  <c r="B62" i="15" s="1"/>
  <c r="B61" i="15" s="1"/>
  <c r="B66" i="15"/>
  <c r="C55" i="15"/>
  <c r="C54" i="15"/>
  <c r="C53" i="15"/>
  <c r="C52" i="15"/>
  <c r="C51" i="15"/>
  <c r="C61" i="15" l="1"/>
  <c r="C63" i="15"/>
  <c r="C62" i="15"/>
  <c r="AH8" i="15"/>
  <c r="AB8" i="15"/>
  <c r="AC8" i="15" s="1"/>
  <c r="V8" i="15"/>
  <c r="W8" i="15" s="1"/>
  <c r="P8" i="15"/>
  <c r="Q8" i="15" s="1"/>
  <c r="J8" i="15"/>
  <c r="C8" i="15"/>
  <c r="AI8" i="15"/>
  <c r="C56" i="15" l="1"/>
  <c r="B72" i="15"/>
  <c r="C64" i="15"/>
  <c r="B23" i="15"/>
  <c r="AA11" i="15"/>
  <c r="U11" i="15" s="1"/>
  <c r="O11" i="15" s="1"/>
  <c r="I11" i="15" s="1"/>
  <c r="B58" i="15" l="1"/>
  <c r="C57" i="15"/>
  <c r="C65" i="15"/>
  <c r="K8" i="15"/>
  <c r="D8" i="15"/>
  <c r="B22" i="15"/>
  <c r="C22" i="15" s="1"/>
  <c r="B7" i="15"/>
  <c r="D7" i="15"/>
  <c r="I7" i="15"/>
  <c r="K7" i="15"/>
  <c r="O7" i="15"/>
  <c r="Q7" i="15"/>
  <c r="U7" i="15"/>
  <c r="W7" i="15"/>
  <c r="AA7" i="15"/>
  <c r="AC7" i="15"/>
  <c r="AG7" i="15"/>
  <c r="AI7" i="15"/>
  <c r="B8" i="15"/>
  <c r="AG22" i="15"/>
  <c r="C58" i="15" l="1"/>
  <c r="C66" i="15"/>
  <c r="AC12" i="15"/>
  <c r="AB11" i="15"/>
  <c r="AC11" i="15" s="1"/>
  <c r="W12" i="15"/>
  <c r="V11" i="15"/>
  <c r="W11" i="15" s="1"/>
  <c r="X17" i="15"/>
  <c r="Q12" i="15"/>
  <c r="P11" i="15"/>
  <c r="Q11" i="15" s="1"/>
  <c r="R17" i="15"/>
  <c r="K12" i="15"/>
  <c r="J11" i="15"/>
  <c r="K11" i="15" s="1"/>
  <c r="L17" i="15"/>
  <c r="D12" i="15"/>
  <c r="AH11" i="15"/>
  <c r="AI11" i="15" s="1"/>
  <c r="AH14" i="15" s="1"/>
  <c r="C23" i="15"/>
  <c r="A51" i="15" s="1"/>
  <c r="C11" i="15"/>
  <c r="D11" i="15" s="1"/>
  <c r="A24" i="15"/>
  <c r="D2" i="3"/>
  <c r="E3" i="3"/>
  <c r="E2" i="3"/>
  <c r="F2" i="3"/>
  <c r="H7" i="3"/>
  <c r="I7" i="3"/>
  <c r="H8" i="3"/>
  <c r="F10" i="3"/>
  <c r="F11" i="3"/>
  <c r="F13" i="3"/>
  <c r="F14" i="3"/>
  <c r="H14" i="3"/>
  <c r="D23" i="3"/>
  <c r="E23" i="3"/>
  <c r="F23" i="3"/>
  <c r="E24" i="3"/>
  <c r="H26" i="3"/>
  <c r="I26" i="3"/>
  <c r="M26" i="3"/>
  <c r="M27" i="3"/>
  <c r="M28" i="3"/>
  <c r="H27" i="3"/>
  <c r="J31" i="3"/>
  <c r="F15" i="3"/>
  <c r="F29" i="3"/>
  <c r="F30" i="3"/>
  <c r="F32" i="3" s="1"/>
  <c r="F33" i="3" s="1"/>
  <c r="F34" i="3" s="1"/>
  <c r="C60" i="15" l="1"/>
  <c r="C59" i="15"/>
  <c r="B71" i="15"/>
  <c r="C67" i="15"/>
  <c r="AH17" i="15"/>
  <c r="A25" i="15"/>
  <c r="B24" i="15"/>
  <c r="C24" i="15" s="1"/>
  <c r="A52" i="15" s="1"/>
  <c r="AD17" i="15"/>
  <c r="AC17" i="15"/>
  <c r="AB14" i="15"/>
  <c r="AI17" i="15"/>
  <c r="X22" i="15"/>
  <c r="V14" i="15"/>
  <c r="W17" i="15"/>
  <c r="R22" i="15"/>
  <c r="P14" i="15"/>
  <c r="Q17" i="15"/>
  <c r="J14" i="15"/>
  <c r="L22" i="15"/>
  <c r="G50" i="15" s="1"/>
  <c r="K17" i="15"/>
  <c r="AJ17" i="15"/>
  <c r="C5" i="19" l="1"/>
  <c r="K50" i="15"/>
  <c r="C4" i="19"/>
  <c r="I50" i="15"/>
  <c r="V17" i="15"/>
  <c r="V22" i="15" s="1"/>
  <c r="P17" i="15"/>
  <c r="P22" i="15" s="1"/>
  <c r="J17" i="15"/>
  <c r="J22" i="15" s="1"/>
  <c r="AB17" i="15"/>
  <c r="AB22" i="15" s="1"/>
  <c r="I2" i="15"/>
  <c r="I22" i="15" s="1"/>
  <c r="C3" i="19"/>
  <c r="A26" i="15"/>
  <c r="B25" i="15"/>
  <c r="C25" i="15" s="1"/>
  <c r="A53" i="15" s="1"/>
  <c r="AC22" i="15"/>
  <c r="L50" i="15" s="1"/>
  <c r="AD22" i="15"/>
  <c r="W22" i="15"/>
  <c r="J50" i="15" s="1"/>
  <c r="Q22" i="15"/>
  <c r="H50" i="15" s="1"/>
  <c r="K22" i="15"/>
  <c r="F50" i="15" s="1"/>
  <c r="AJ22" i="15"/>
  <c r="AI22" i="15"/>
  <c r="N50" i="15" s="1"/>
  <c r="AH22" i="15"/>
  <c r="C17" i="15"/>
  <c r="D22" i="15" s="1"/>
  <c r="C7" i="19" l="1"/>
  <c r="O50" i="15"/>
  <c r="C6" i="19"/>
  <c r="M50" i="15"/>
  <c r="H23" i="15"/>
  <c r="L23" i="15" s="1"/>
  <c r="H24" i="15"/>
  <c r="K24" i="15" s="1"/>
  <c r="O2" i="15"/>
  <c r="O22" i="15" s="1"/>
  <c r="K23" i="15"/>
  <c r="H25" i="15"/>
  <c r="J25" i="15" s="1"/>
  <c r="I23" i="15"/>
  <c r="A27" i="15"/>
  <c r="B26" i="15"/>
  <c r="I24" i="15"/>
  <c r="E17" i="15"/>
  <c r="D17" i="15"/>
  <c r="D24" i="15"/>
  <c r="D25" i="15"/>
  <c r="D23" i="15"/>
  <c r="C10" i="19" l="1"/>
  <c r="G51" i="15"/>
  <c r="J23" i="15"/>
  <c r="N23" i="15"/>
  <c r="O23" i="15" s="1"/>
  <c r="U2" i="15"/>
  <c r="AA2" i="15" s="1"/>
  <c r="B17" i="19"/>
  <c r="F52" i="15"/>
  <c r="B10" i="19"/>
  <c r="F51" i="15"/>
  <c r="J24" i="15"/>
  <c r="L24" i="15"/>
  <c r="I25" i="15"/>
  <c r="L25" i="15"/>
  <c r="E22" i="15"/>
  <c r="D50" i="15" s="1"/>
  <c r="K25" i="15"/>
  <c r="C26" i="15"/>
  <c r="A54" i="15" s="1"/>
  <c r="H26" i="15"/>
  <c r="N26" i="15" s="1"/>
  <c r="Q26" i="15" s="1"/>
  <c r="A28" i="15"/>
  <c r="B27" i="15"/>
  <c r="F27" i="15" s="1"/>
  <c r="D26" i="15"/>
  <c r="U22" i="15"/>
  <c r="N25" i="15"/>
  <c r="N24" i="15"/>
  <c r="AA22" i="15"/>
  <c r="F26" i="15"/>
  <c r="F22" i="15"/>
  <c r="F25" i="15"/>
  <c r="F23" i="15"/>
  <c r="F24" i="15"/>
  <c r="E23" i="15"/>
  <c r="D51" i="15" s="1"/>
  <c r="E24" i="15"/>
  <c r="E26" i="15"/>
  <c r="E25" i="15"/>
  <c r="T23" i="15" l="1"/>
  <c r="Z23" i="15" s="1"/>
  <c r="AF23" i="15" s="1"/>
  <c r="B16" i="19"/>
  <c r="D52" i="15"/>
  <c r="B9" i="19"/>
  <c r="B23" i="19"/>
  <c r="D53" i="15"/>
  <c r="B30" i="19"/>
  <c r="D54" i="15"/>
  <c r="C9" i="19"/>
  <c r="E51" i="15"/>
  <c r="C24" i="19"/>
  <c r="G53" i="15"/>
  <c r="C37" i="19"/>
  <c r="E55" i="15"/>
  <c r="B24" i="19"/>
  <c r="F53" i="15"/>
  <c r="C2" i="19"/>
  <c r="E50" i="15"/>
  <c r="C17" i="19"/>
  <c r="G52" i="15"/>
  <c r="C23" i="19"/>
  <c r="E53" i="15"/>
  <c r="C16" i="19"/>
  <c r="E52" i="15"/>
  <c r="C30" i="19"/>
  <c r="E54" i="15"/>
  <c r="B32" i="19"/>
  <c r="H54" i="15"/>
  <c r="P23" i="15"/>
  <c r="Q23" i="15"/>
  <c r="R23" i="15"/>
  <c r="AA23" i="15"/>
  <c r="U23" i="15"/>
  <c r="C27" i="15"/>
  <c r="A55" i="15" s="1"/>
  <c r="H27" i="15"/>
  <c r="D27" i="15"/>
  <c r="A29" i="15"/>
  <c r="B28" i="15"/>
  <c r="E27" i="15"/>
  <c r="K26" i="15"/>
  <c r="L26" i="15"/>
  <c r="I26" i="15"/>
  <c r="J26" i="15"/>
  <c r="P26" i="15"/>
  <c r="R26" i="15"/>
  <c r="T26" i="15"/>
  <c r="O26" i="15"/>
  <c r="T25" i="15"/>
  <c r="R25" i="15"/>
  <c r="Q25" i="15"/>
  <c r="O25" i="15"/>
  <c r="P25" i="15"/>
  <c r="T24" i="15"/>
  <c r="R24" i="15"/>
  <c r="P24" i="15"/>
  <c r="Q24" i="15"/>
  <c r="O24" i="15"/>
  <c r="AG23" i="15" l="1"/>
  <c r="AJ23" i="15"/>
  <c r="AI23" i="15"/>
  <c r="AH23" i="15"/>
  <c r="B37" i="19"/>
  <c r="D55" i="15"/>
  <c r="B31" i="19"/>
  <c r="F54" i="15"/>
  <c r="C11" i="19"/>
  <c r="I51" i="15"/>
  <c r="C18" i="19"/>
  <c r="I52" i="15"/>
  <c r="B25" i="19"/>
  <c r="H53" i="15"/>
  <c r="B11" i="19"/>
  <c r="H51" i="15"/>
  <c r="B18" i="19"/>
  <c r="H52" i="15"/>
  <c r="C25" i="19"/>
  <c r="I53" i="15"/>
  <c r="C32" i="19"/>
  <c r="I54" i="15"/>
  <c r="C31" i="19"/>
  <c r="G54" i="15"/>
  <c r="AD23" i="15"/>
  <c r="AB23" i="15"/>
  <c r="AC23" i="15"/>
  <c r="W23" i="15"/>
  <c r="V23" i="15"/>
  <c r="X23" i="15"/>
  <c r="J27" i="15"/>
  <c r="K27" i="15"/>
  <c r="I27" i="15"/>
  <c r="L27" i="15"/>
  <c r="N27" i="15"/>
  <c r="A30" i="15"/>
  <c r="B29" i="15"/>
  <c r="C28" i="15"/>
  <c r="A56" i="15" s="1"/>
  <c r="H28" i="15"/>
  <c r="D28" i="15"/>
  <c r="F28" i="15"/>
  <c r="E28" i="15"/>
  <c r="Z24" i="15"/>
  <c r="X24" i="15"/>
  <c r="W24" i="15"/>
  <c r="V24" i="15"/>
  <c r="U24" i="15"/>
  <c r="Z25" i="15"/>
  <c r="X25" i="15"/>
  <c r="V25" i="15"/>
  <c r="W25" i="15"/>
  <c r="U25" i="15"/>
  <c r="Z26" i="15"/>
  <c r="W26" i="15"/>
  <c r="X26" i="15"/>
  <c r="V26" i="15"/>
  <c r="U26" i="15"/>
  <c r="B14" i="19" l="1"/>
  <c r="N51" i="15"/>
  <c r="C14" i="19"/>
  <c r="O51" i="15"/>
  <c r="B44" i="19"/>
  <c r="D56" i="15"/>
  <c r="C38" i="19"/>
  <c r="G55" i="15"/>
  <c r="B19" i="19"/>
  <c r="J52" i="15"/>
  <c r="C13" i="19"/>
  <c r="M51" i="15"/>
  <c r="C19" i="19"/>
  <c r="K52" i="15"/>
  <c r="B38" i="19"/>
  <c r="F55" i="15"/>
  <c r="B12" i="19"/>
  <c r="J51" i="15"/>
  <c r="B33" i="19"/>
  <c r="J54" i="15"/>
  <c r="C12" i="19"/>
  <c r="K51" i="15"/>
  <c r="C26" i="19"/>
  <c r="K53" i="15"/>
  <c r="C44" i="19"/>
  <c r="E56" i="15"/>
  <c r="C33" i="19"/>
  <c r="K54" i="15"/>
  <c r="B26" i="19"/>
  <c r="J53" i="15"/>
  <c r="B13" i="19"/>
  <c r="L51" i="15"/>
  <c r="C29" i="15"/>
  <c r="A57" i="15" s="1"/>
  <c r="H29" i="15"/>
  <c r="D29" i="15"/>
  <c r="F29" i="15"/>
  <c r="E29" i="15"/>
  <c r="A31" i="15"/>
  <c r="B30" i="15"/>
  <c r="L28" i="15"/>
  <c r="K28" i="15"/>
  <c r="I28" i="15"/>
  <c r="J28" i="15"/>
  <c r="N28" i="15"/>
  <c r="O27" i="15"/>
  <c r="R27" i="15"/>
  <c r="P27" i="15"/>
  <c r="Q27" i="15"/>
  <c r="T27" i="15"/>
  <c r="AF25" i="15"/>
  <c r="AC25" i="15"/>
  <c r="AD25" i="15"/>
  <c r="AB25" i="15"/>
  <c r="AA25" i="15"/>
  <c r="AF24" i="15"/>
  <c r="AA24" i="15"/>
  <c r="AD24" i="15"/>
  <c r="AB24" i="15"/>
  <c r="AC24" i="15"/>
  <c r="AF26" i="15"/>
  <c r="AB26" i="15"/>
  <c r="AC26" i="15"/>
  <c r="AD26" i="15"/>
  <c r="AA26" i="15"/>
  <c r="B51" i="19" l="1"/>
  <c r="D57" i="15"/>
  <c r="B34" i="19"/>
  <c r="L54" i="15"/>
  <c r="C39" i="19"/>
  <c r="I55" i="15"/>
  <c r="C27" i="19"/>
  <c r="M53" i="15"/>
  <c r="B39" i="19"/>
  <c r="H55" i="15"/>
  <c r="C45" i="19"/>
  <c r="G56" i="15"/>
  <c r="C51" i="19"/>
  <c r="E57" i="15"/>
  <c r="C20" i="19"/>
  <c r="M52" i="15"/>
  <c r="B45" i="19"/>
  <c r="F56" i="15"/>
  <c r="C34" i="19"/>
  <c r="M54" i="15"/>
  <c r="B20" i="19"/>
  <c r="L52" i="15"/>
  <c r="B27" i="19"/>
  <c r="L53" i="15"/>
  <c r="T28" i="15"/>
  <c r="O28" i="15"/>
  <c r="Q28" i="15"/>
  <c r="R28" i="15"/>
  <c r="P28" i="15"/>
  <c r="A32" i="15"/>
  <c r="B31" i="15"/>
  <c r="I29" i="15"/>
  <c r="K29" i="15"/>
  <c r="N29" i="15"/>
  <c r="L29" i="15"/>
  <c r="J29" i="15"/>
  <c r="C30" i="15"/>
  <c r="A58" i="15" s="1"/>
  <c r="H30" i="15"/>
  <c r="D30" i="15"/>
  <c r="F30" i="15"/>
  <c r="E30" i="15"/>
  <c r="U27" i="15"/>
  <c r="X27" i="15"/>
  <c r="W27" i="15"/>
  <c r="V27" i="15"/>
  <c r="Z27" i="15"/>
  <c r="AG26" i="15"/>
  <c r="AJ26" i="15"/>
  <c r="AH26" i="15"/>
  <c r="AI26" i="15"/>
  <c r="AI24" i="15"/>
  <c r="AH24" i="15"/>
  <c r="AG24" i="15"/>
  <c r="AJ24" i="15"/>
  <c r="AG25" i="15"/>
  <c r="AI25" i="15"/>
  <c r="AH25" i="15"/>
  <c r="AJ25" i="15"/>
  <c r="B58" i="19" l="1"/>
  <c r="D58" i="15"/>
  <c r="C21" i="19"/>
  <c r="O52" i="15"/>
  <c r="B52" i="19"/>
  <c r="F57" i="15"/>
  <c r="B28" i="19"/>
  <c r="N53" i="15"/>
  <c r="C35" i="19"/>
  <c r="O54" i="15"/>
  <c r="B40" i="19"/>
  <c r="J55" i="15"/>
  <c r="C58" i="19"/>
  <c r="E58" i="15"/>
  <c r="C46" i="19"/>
  <c r="I56" i="15"/>
  <c r="C28" i="19"/>
  <c r="O53" i="15"/>
  <c r="B35" i="19"/>
  <c r="N54" i="15"/>
  <c r="B21" i="19"/>
  <c r="N52" i="15"/>
  <c r="C40" i="19"/>
  <c r="K55" i="15"/>
  <c r="C52" i="19"/>
  <c r="G57" i="15"/>
  <c r="B46" i="19"/>
  <c r="H56" i="15"/>
  <c r="C31" i="15"/>
  <c r="A59" i="15" s="1"/>
  <c r="H31" i="15"/>
  <c r="D31" i="15"/>
  <c r="F31" i="15"/>
  <c r="E31" i="15"/>
  <c r="AD27" i="15"/>
  <c r="AF27" i="15"/>
  <c r="AA27" i="15"/>
  <c r="AB27" i="15"/>
  <c r="AC27" i="15"/>
  <c r="I30" i="15"/>
  <c r="N30" i="15"/>
  <c r="L30" i="15"/>
  <c r="J30" i="15"/>
  <c r="K30" i="15"/>
  <c r="T29" i="15"/>
  <c r="O29" i="15"/>
  <c r="P29" i="15"/>
  <c r="Q29" i="15"/>
  <c r="R29" i="15"/>
  <c r="A33" i="15"/>
  <c r="B32" i="15"/>
  <c r="V28" i="15"/>
  <c r="W28" i="15"/>
  <c r="Z28" i="15"/>
  <c r="X28" i="15"/>
  <c r="U28" i="15"/>
  <c r="B65" i="19" l="1"/>
  <c r="D59" i="15"/>
  <c r="C47" i="19"/>
  <c r="K56" i="15"/>
  <c r="B41" i="19"/>
  <c r="L55" i="15"/>
  <c r="B47" i="19"/>
  <c r="J56" i="15"/>
  <c r="C53" i="19"/>
  <c r="I57" i="15"/>
  <c r="C65" i="19"/>
  <c r="E59" i="15"/>
  <c r="C41" i="19"/>
  <c r="M55" i="15"/>
  <c r="C59" i="19"/>
  <c r="G58" i="15"/>
  <c r="B53" i="19"/>
  <c r="H57" i="15"/>
  <c r="B59" i="19"/>
  <c r="F58" i="15"/>
  <c r="AJ27" i="15"/>
  <c r="AH27" i="15"/>
  <c r="AI27" i="15"/>
  <c r="AG27" i="15"/>
  <c r="C32" i="15"/>
  <c r="A60" i="15" s="1"/>
  <c r="H32" i="15"/>
  <c r="D32" i="15"/>
  <c r="E32" i="15"/>
  <c r="F32" i="15"/>
  <c r="I31" i="15"/>
  <c r="N31" i="15"/>
  <c r="J31" i="15"/>
  <c r="L31" i="15"/>
  <c r="K31" i="15"/>
  <c r="U29" i="15"/>
  <c r="Z29" i="15"/>
  <c r="V29" i="15"/>
  <c r="X29" i="15"/>
  <c r="W29" i="15"/>
  <c r="T30" i="15"/>
  <c r="O30" i="15"/>
  <c r="Q30" i="15"/>
  <c r="P30" i="15"/>
  <c r="R30" i="15"/>
  <c r="AC28" i="15"/>
  <c r="AA28" i="15"/>
  <c r="AB28" i="15"/>
  <c r="AF28" i="15"/>
  <c r="AD28" i="15"/>
  <c r="A34" i="15"/>
  <c r="B33" i="15"/>
  <c r="B72" i="19" l="1"/>
  <c r="D60" i="15"/>
  <c r="C54" i="19"/>
  <c r="K57" i="15"/>
  <c r="C48" i="19"/>
  <c r="M56" i="15"/>
  <c r="C72" i="19"/>
  <c r="E60" i="15"/>
  <c r="C42" i="19"/>
  <c r="O55" i="15"/>
  <c r="C60" i="19"/>
  <c r="I58" i="15"/>
  <c r="B60" i="19"/>
  <c r="H58" i="15"/>
  <c r="B66" i="19"/>
  <c r="F59" i="15"/>
  <c r="B48" i="19"/>
  <c r="L56" i="15"/>
  <c r="C66" i="19"/>
  <c r="G59" i="15"/>
  <c r="B54" i="19"/>
  <c r="J57" i="15"/>
  <c r="B42" i="19"/>
  <c r="N55" i="15"/>
  <c r="AJ28" i="15"/>
  <c r="AI28" i="15"/>
  <c r="AG28" i="15"/>
  <c r="AH28" i="15"/>
  <c r="Z30" i="15"/>
  <c r="U30" i="15"/>
  <c r="V30" i="15"/>
  <c r="W30" i="15"/>
  <c r="X30" i="15"/>
  <c r="C33" i="15"/>
  <c r="A61" i="15" s="1"/>
  <c r="H33" i="15"/>
  <c r="D33" i="15"/>
  <c r="F33" i="15"/>
  <c r="E33" i="15"/>
  <c r="A35" i="15"/>
  <c r="B34" i="15"/>
  <c r="I32" i="15"/>
  <c r="N32" i="15"/>
  <c r="K32" i="15"/>
  <c r="L32" i="15"/>
  <c r="J32" i="15"/>
  <c r="AD29" i="15"/>
  <c r="AC29" i="15"/>
  <c r="AA29" i="15"/>
  <c r="AB29" i="15"/>
  <c r="AF29" i="15"/>
  <c r="T31" i="15"/>
  <c r="O31" i="15"/>
  <c r="P31" i="15"/>
  <c r="R31" i="15"/>
  <c r="Q31" i="15"/>
  <c r="B79" i="19" l="1"/>
  <c r="D61" i="15"/>
  <c r="C55" i="19"/>
  <c r="M57" i="15"/>
  <c r="B49" i="19"/>
  <c r="N56" i="15"/>
  <c r="C79" i="19"/>
  <c r="E61" i="15"/>
  <c r="C49" i="19"/>
  <c r="O56" i="15"/>
  <c r="C73" i="19"/>
  <c r="G60" i="15"/>
  <c r="B61" i="19"/>
  <c r="J58" i="15"/>
  <c r="C67" i="19"/>
  <c r="I59" i="15"/>
  <c r="C61" i="19"/>
  <c r="K58" i="15"/>
  <c r="B67" i="19"/>
  <c r="H59" i="15"/>
  <c r="B55" i="19"/>
  <c r="L57" i="15"/>
  <c r="B73" i="19"/>
  <c r="F60" i="15"/>
  <c r="C34" i="15"/>
  <c r="A62" i="15" s="1"/>
  <c r="H34" i="15"/>
  <c r="D34" i="15"/>
  <c r="E34" i="15"/>
  <c r="F34" i="15"/>
  <c r="AH29" i="15"/>
  <c r="AG29" i="15"/>
  <c r="AI29" i="15"/>
  <c r="AJ29" i="15"/>
  <c r="T32" i="15"/>
  <c r="O32" i="15"/>
  <c r="R32" i="15"/>
  <c r="P32" i="15"/>
  <c r="Q32" i="15"/>
  <c r="Z31" i="15"/>
  <c r="U31" i="15"/>
  <c r="W31" i="15"/>
  <c r="X31" i="15"/>
  <c r="V31" i="15"/>
  <c r="A36" i="15"/>
  <c r="B35" i="15"/>
  <c r="I33" i="15"/>
  <c r="N33" i="15"/>
  <c r="J33" i="15"/>
  <c r="L33" i="15"/>
  <c r="K33" i="15"/>
  <c r="AF30" i="15"/>
  <c r="AD30" i="15"/>
  <c r="AC30" i="15"/>
  <c r="AA30" i="15"/>
  <c r="AB30" i="15"/>
  <c r="B86" i="19" l="1"/>
  <c r="D62" i="15"/>
  <c r="B62" i="19"/>
  <c r="L58" i="15"/>
  <c r="B68" i="19"/>
  <c r="J59" i="15"/>
  <c r="C56" i="19"/>
  <c r="O57" i="15"/>
  <c r="C62" i="19"/>
  <c r="M58" i="15"/>
  <c r="C74" i="19"/>
  <c r="I60" i="15"/>
  <c r="B56" i="19"/>
  <c r="N57" i="15"/>
  <c r="C80" i="19"/>
  <c r="G61" i="15"/>
  <c r="C86" i="19"/>
  <c r="E62" i="15"/>
  <c r="B80" i="19"/>
  <c r="F61" i="15"/>
  <c r="C68" i="19"/>
  <c r="K59" i="15"/>
  <c r="B74" i="19"/>
  <c r="H60" i="15"/>
  <c r="A37" i="15"/>
  <c r="B36" i="15"/>
  <c r="AF31" i="15"/>
  <c r="AA31" i="15"/>
  <c r="AB31" i="15"/>
  <c r="AC31" i="15"/>
  <c r="AD31" i="15"/>
  <c r="Z32" i="15"/>
  <c r="U32" i="15"/>
  <c r="V32" i="15"/>
  <c r="W32" i="15"/>
  <c r="X32" i="15"/>
  <c r="I34" i="15"/>
  <c r="N34" i="15"/>
  <c r="K34" i="15"/>
  <c r="L34" i="15"/>
  <c r="J34" i="15"/>
  <c r="AI30" i="15"/>
  <c r="AH30" i="15"/>
  <c r="AG30" i="15"/>
  <c r="AJ30" i="15"/>
  <c r="T33" i="15"/>
  <c r="O33" i="15"/>
  <c r="P33" i="15"/>
  <c r="Q33" i="15"/>
  <c r="R33" i="15"/>
  <c r="C35" i="15"/>
  <c r="A63" i="15" s="1"/>
  <c r="H35" i="15"/>
  <c r="D35" i="15"/>
  <c r="F35" i="15"/>
  <c r="E35" i="15"/>
  <c r="B93" i="19" l="1"/>
  <c r="D63" i="15"/>
  <c r="C93" i="19"/>
  <c r="E63" i="15"/>
  <c r="B69" i="19"/>
  <c r="L59" i="15"/>
  <c r="C63" i="19"/>
  <c r="O58" i="15"/>
  <c r="C87" i="19"/>
  <c r="G62" i="15"/>
  <c r="C75" i="19"/>
  <c r="K60" i="15"/>
  <c r="C81" i="19"/>
  <c r="I61" i="15"/>
  <c r="B63" i="19"/>
  <c r="N58" i="15"/>
  <c r="B81" i="19"/>
  <c r="H61" i="15"/>
  <c r="B87" i="19"/>
  <c r="F62" i="15"/>
  <c r="B75" i="19"/>
  <c r="J60" i="15"/>
  <c r="C69" i="19"/>
  <c r="M59" i="15"/>
  <c r="AH31" i="15"/>
  <c r="AG31" i="15"/>
  <c r="AJ31" i="15"/>
  <c r="AI31" i="15"/>
  <c r="Z33" i="15"/>
  <c r="U33" i="15"/>
  <c r="W33" i="15"/>
  <c r="V33" i="15"/>
  <c r="X33" i="15"/>
  <c r="T34" i="15"/>
  <c r="O34" i="15"/>
  <c r="R34" i="15"/>
  <c r="P34" i="15"/>
  <c r="Q34" i="15"/>
  <c r="C36" i="15"/>
  <c r="A64" i="15" s="1"/>
  <c r="H36" i="15"/>
  <c r="D36" i="15"/>
  <c r="E36" i="15"/>
  <c r="F36" i="15"/>
  <c r="I35" i="15"/>
  <c r="N35" i="15"/>
  <c r="J35" i="15"/>
  <c r="L35" i="15"/>
  <c r="K35" i="15"/>
  <c r="AF32" i="15"/>
  <c r="AA32" i="15"/>
  <c r="AC32" i="15"/>
  <c r="AD32" i="15"/>
  <c r="AB32" i="15"/>
  <c r="A38" i="15"/>
  <c r="B37" i="15"/>
  <c r="B100" i="19" l="1"/>
  <c r="D64" i="15"/>
  <c r="B88" i="19"/>
  <c r="H62" i="15"/>
  <c r="C76" i="19"/>
  <c r="M60" i="15"/>
  <c r="B94" i="19"/>
  <c r="F63" i="15"/>
  <c r="C88" i="19"/>
  <c r="I62" i="15"/>
  <c r="B70" i="19"/>
  <c r="N59" i="15"/>
  <c r="C82" i="19"/>
  <c r="K61" i="15"/>
  <c r="B76" i="19"/>
  <c r="L60" i="15"/>
  <c r="C94" i="19"/>
  <c r="G63" i="15"/>
  <c r="C100" i="19"/>
  <c r="E64" i="15"/>
  <c r="B82" i="19"/>
  <c r="J61" i="15"/>
  <c r="C70" i="19"/>
  <c r="O59" i="15"/>
  <c r="I36" i="15"/>
  <c r="N36" i="15"/>
  <c r="K36" i="15"/>
  <c r="J36" i="15"/>
  <c r="L36" i="15"/>
  <c r="C37" i="15"/>
  <c r="A65" i="15" s="1"/>
  <c r="H37" i="15"/>
  <c r="D37" i="15"/>
  <c r="F37" i="15"/>
  <c r="E37" i="15"/>
  <c r="A39" i="15"/>
  <c r="B38" i="15"/>
  <c r="Z34" i="15"/>
  <c r="U34" i="15"/>
  <c r="W34" i="15"/>
  <c r="V34" i="15"/>
  <c r="X34" i="15"/>
  <c r="AJ32" i="15"/>
  <c r="AI32" i="15"/>
  <c r="AG32" i="15"/>
  <c r="AH32" i="15"/>
  <c r="T35" i="15"/>
  <c r="O35" i="15"/>
  <c r="Q35" i="15"/>
  <c r="R35" i="15"/>
  <c r="P35" i="15"/>
  <c r="AF33" i="15"/>
  <c r="AA33" i="15"/>
  <c r="AD33" i="15"/>
  <c r="AC33" i="15"/>
  <c r="AB33" i="15"/>
  <c r="B107" i="19" l="1"/>
  <c r="D65" i="15"/>
  <c r="B83" i="19"/>
  <c r="L61" i="15"/>
  <c r="C77" i="19"/>
  <c r="O60" i="15"/>
  <c r="C95" i="19"/>
  <c r="I63" i="15"/>
  <c r="C89" i="19"/>
  <c r="K62" i="15"/>
  <c r="C101" i="19"/>
  <c r="G64" i="15"/>
  <c r="B95" i="19"/>
  <c r="H63" i="15"/>
  <c r="C83" i="19"/>
  <c r="M61" i="15"/>
  <c r="C107" i="19"/>
  <c r="E65" i="15"/>
  <c r="B77" i="19"/>
  <c r="N60" i="15"/>
  <c r="B89" i="19"/>
  <c r="J62" i="15"/>
  <c r="B101" i="19"/>
  <c r="F64" i="15"/>
  <c r="C38" i="15"/>
  <c r="A66" i="15" s="1"/>
  <c r="H38" i="15"/>
  <c r="D38" i="15"/>
  <c r="F38" i="15"/>
  <c r="E38" i="15"/>
  <c r="A40" i="15"/>
  <c r="B39" i="15"/>
  <c r="I37" i="15"/>
  <c r="N37" i="15"/>
  <c r="J37" i="15"/>
  <c r="K37" i="15"/>
  <c r="L37" i="15"/>
  <c r="Z35" i="15"/>
  <c r="U35" i="15"/>
  <c r="W35" i="15"/>
  <c r="X35" i="15"/>
  <c r="V35" i="15"/>
  <c r="T36" i="15"/>
  <c r="O36" i="15"/>
  <c r="R36" i="15"/>
  <c r="P36" i="15"/>
  <c r="Q36" i="15"/>
  <c r="AI33" i="15"/>
  <c r="AG33" i="15"/>
  <c r="AH33" i="15"/>
  <c r="AJ33" i="15"/>
  <c r="AF34" i="15"/>
  <c r="AA34" i="15"/>
  <c r="AC34" i="15"/>
  <c r="AB34" i="15"/>
  <c r="AD34" i="15"/>
  <c r="B114" i="19" l="1"/>
  <c r="D66" i="15"/>
  <c r="B102" i="19"/>
  <c r="H64" i="15"/>
  <c r="C102" i="19"/>
  <c r="I64" i="15"/>
  <c r="C96" i="19"/>
  <c r="K63" i="15"/>
  <c r="C108" i="19"/>
  <c r="G65" i="15"/>
  <c r="C114" i="19"/>
  <c r="E66" i="15"/>
  <c r="C84" i="19"/>
  <c r="O61" i="15"/>
  <c r="B90" i="19"/>
  <c r="L62" i="15"/>
  <c r="C90" i="19"/>
  <c r="M62" i="15"/>
  <c r="B84" i="19"/>
  <c r="N61" i="15"/>
  <c r="B96" i="19"/>
  <c r="J63" i="15"/>
  <c r="B108" i="19"/>
  <c r="F65" i="15"/>
  <c r="H39" i="15"/>
  <c r="C39" i="15"/>
  <c r="A67" i="15" s="1"/>
  <c r="D39" i="15"/>
  <c r="F39" i="15"/>
  <c r="E39" i="15"/>
  <c r="Z36" i="15"/>
  <c r="U36" i="15"/>
  <c r="W36" i="15"/>
  <c r="X36" i="15"/>
  <c r="V36" i="15"/>
  <c r="B40" i="15"/>
  <c r="I38" i="15"/>
  <c r="N38" i="15"/>
  <c r="L38" i="15"/>
  <c r="K38" i="15"/>
  <c r="J38" i="15"/>
  <c r="AI34" i="15"/>
  <c r="AG34" i="15"/>
  <c r="AH34" i="15"/>
  <c r="AJ34" i="15"/>
  <c r="AF35" i="15"/>
  <c r="AA35" i="15"/>
  <c r="AB35" i="15"/>
  <c r="AD35" i="15"/>
  <c r="AC35" i="15"/>
  <c r="T37" i="15"/>
  <c r="O37" i="15"/>
  <c r="P37" i="15"/>
  <c r="R37" i="15"/>
  <c r="Q37" i="15"/>
  <c r="B121" i="19" l="1"/>
  <c r="D67" i="15"/>
  <c r="C115" i="19"/>
  <c r="G66" i="15"/>
  <c r="C109" i="19"/>
  <c r="I65" i="15"/>
  <c r="C103" i="19"/>
  <c r="K64" i="15"/>
  <c r="C97" i="19"/>
  <c r="M63" i="15"/>
  <c r="C91" i="19"/>
  <c r="O62" i="15"/>
  <c r="B103" i="19"/>
  <c r="J64" i="15"/>
  <c r="C121" i="19"/>
  <c r="E67" i="15"/>
  <c r="B109" i="19"/>
  <c r="H65" i="15"/>
  <c r="B97" i="19"/>
  <c r="L63" i="15"/>
  <c r="B91" i="19"/>
  <c r="N62" i="15"/>
  <c r="B115" i="19"/>
  <c r="F66" i="15"/>
  <c r="AG35" i="15"/>
  <c r="AH35" i="15"/>
  <c r="AJ35" i="15"/>
  <c r="AI35" i="15"/>
  <c r="T38" i="15"/>
  <c r="O38" i="15"/>
  <c r="R38" i="15"/>
  <c r="Q38" i="15"/>
  <c r="P38" i="15"/>
  <c r="AF36" i="15"/>
  <c r="AA36" i="15"/>
  <c r="AD36" i="15"/>
  <c r="AB36" i="15"/>
  <c r="AC36" i="15"/>
  <c r="H40" i="15"/>
  <c r="C40" i="15"/>
  <c r="D40" i="15"/>
  <c r="F40" i="15"/>
  <c r="C128" i="19" s="1"/>
  <c r="E40" i="15"/>
  <c r="B128" i="19" s="1"/>
  <c r="Z37" i="15"/>
  <c r="U37" i="15"/>
  <c r="X37" i="15"/>
  <c r="W37" i="15"/>
  <c r="V37" i="15"/>
  <c r="I39" i="15"/>
  <c r="N39" i="15"/>
  <c r="K39" i="15"/>
  <c r="J39" i="15"/>
  <c r="L39" i="15"/>
  <c r="C122" i="19" l="1"/>
  <c r="G67" i="15"/>
  <c r="C104" i="19"/>
  <c r="M64" i="15"/>
  <c r="B116" i="19"/>
  <c r="H66" i="15"/>
  <c r="B98" i="19"/>
  <c r="N63" i="15"/>
  <c r="C110" i="19"/>
  <c r="K65" i="15"/>
  <c r="B104" i="19"/>
  <c r="L64" i="15"/>
  <c r="B122" i="19"/>
  <c r="F67" i="15"/>
  <c r="B110" i="19"/>
  <c r="J65" i="15"/>
  <c r="C116" i="19"/>
  <c r="I66" i="15"/>
  <c r="C98" i="19"/>
  <c r="O63" i="15"/>
  <c r="AI36" i="15"/>
  <c r="AH36" i="15"/>
  <c r="AJ36" i="15"/>
  <c r="AG36" i="15"/>
  <c r="Z38" i="15"/>
  <c r="U38" i="15"/>
  <c r="X38" i="15"/>
  <c r="W38" i="15"/>
  <c r="V38" i="15"/>
  <c r="AF37" i="15"/>
  <c r="AA37" i="15"/>
  <c r="AD37" i="15"/>
  <c r="AC37" i="15"/>
  <c r="AB37" i="15"/>
  <c r="T39" i="15"/>
  <c r="O39" i="15"/>
  <c r="R39" i="15"/>
  <c r="Q39" i="15"/>
  <c r="P39" i="15"/>
  <c r="I40" i="15"/>
  <c r="N40" i="15"/>
  <c r="L40" i="15"/>
  <c r="C129" i="19" s="1"/>
  <c r="J40" i="15"/>
  <c r="K40" i="15"/>
  <c r="B129" i="19" s="1"/>
  <c r="C111" i="19" l="1"/>
  <c r="M65" i="15"/>
  <c r="C105" i="19"/>
  <c r="O64" i="15"/>
  <c r="B123" i="19"/>
  <c r="H67" i="15"/>
  <c r="B117" i="19"/>
  <c r="J66" i="15"/>
  <c r="C117" i="19"/>
  <c r="K66" i="15"/>
  <c r="C123" i="19"/>
  <c r="I67" i="15"/>
  <c r="B111" i="19"/>
  <c r="L65" i="15"/>
  <c r="B105" i="19"/>
  <c r="N64" i="15"/>
  <c r="T40" i="15"/>
  <c r="O40" i="15"/>
  <c r="Q40" i="15"/>
  <c r="B130" i="19" s="1"/>
  <c r="R40" i="15"/>
  <c r="C130" i="19" s="1"/>
  <c r="P40" i="15"/>
  <c r="AI37" i="15"/>
  <c r="AJ37" i="15"/>
  <c r="AG37" i="15"/>
  <c r="AH37" i="15"/>
  <c r="Z39" i="15"/>
  <c r="U39" i="15"/>
  <c r="V39" i="15"/>
  <c r="X39" i="15"/>
  <c r="W39" i="15"/>
  <c r="AF38" i="15"/>
  <c r="AA38" i="15"/>
  <c r="AC38" i="15"/>
  <c r="AB38" i="15"/>
  <c r="AD38" i="15"/>
  <c r="B124" i="19" l="1"/>
  <c r="J67" i="15"/>
  <c r="B112" i="19"/>
  <c r="N65" i="15"/>
  <c r="C118" i="19"/>
  <c r="M66" i="15"/>
  <c r="C112" i="19"/>
  <c r="O65" i="15"/>
  <c r="B118" i="19"/>
  <c r="L66" i="15"/>
  <c r="C124" i="19"/>
  <c r="K67" i="15"/>
  <c r="AF39" i="15"/>
  <c r="AA39" i="15"/>
  <c r="AD39" i="15"/>
  <c r="AB39" i="15"/>
  <c r="AC39" i="15"/>
  <c r="Z40" i="15"/>
  <c r="U40" i="15"/>
  <c r="X40" i="15"/>
  <c r="C131" i="19" s="1"/>
  <c r="W40" i="15"/>
  <c r="B131" i="19" s="1"/>
  <c r="V40" i="15"/>
  <c r="AI38" i="15"/>
  <c r="AJ38" i="15"/>
  <c r="AH38" i="15"/>
  <c r="AG38" i="15"/>
  <c r="B119" i="19" l="1"/>
  <c r="N66" i="15"/>
  <c r="C125" i="19"/>
  <c r="M67" i="15"/>
  <c r="C119" i="19"/>
  <c r="O66" i="15"/>
  <c r="B125" i="19"/>
  <c r="L67" i="15"/>
  <c r="AF40" i="15"/>
  <c r="AA40" i="15"/>
  <c r="AC40" i="15"/>
  <c r="B132" i="19" s="1"/>
  <c r="AB40" i="15"/>
  <c r="AD40" i="15"/>
  <c r="C132" i="19" s="1"/>
  <c r="AH39" i="15"/>
  <c r="AJ39" i="15"/>
  <c r="AG39" i="15"/>
  <c r="AI39" i="15"/>
  <c r="C126" i="19" l="1"/>
  <c r="O67" i="15"/>
  <c r="B126" i="19"/>
  <c r="N67" i="15"/>
  <c r="AG40" i="15"/>
  <c r="AJ40" i="15"/>
  <c r="C133" i="19" s="1"/>
  <c r="AI40" i="15"/>
  <c r="B133" i="19" s="1"/>
  <c r="AH40" i="15"/>
</calcChain>
</file>

<file path=xl/sharedStrings.xml><?xml version="1.0" encoding="utf-8"?>
<sst xmlns="http://schemas.openxmlformats.org/spreadsheetml/2006/main" count="247" uniqueCount="87">
  <si>
    <t>Double ended boat</t>
  </si>
  <si>
    <t xml:space="preserve"> transom width is X,   a line from the corner of the transom to point of the bow that creats a triangle with a much smaller height for the chord</t>
  </si>
  <si>
    <t>as a rough estimate  am going to assume that cuts the Hgt of that cord by 1/2</t>
  </si>
  <si>
    <t>heel of stem</t>
  </si>
  <si>
    <t>heel of Trsom</t>
  </si>
  <si>
    <t>cm aft of sheer @ top of stem</t>
  </si>
  <si>
    <t>cm for of sheer @ top of trnson</t>
  </si>
  <si>
    <t>Transom ended boat</t>
  </si>
  <si>
    <t xml:space="preserve">Length Gained </t>
  </si>
  <si>
    <t>sHr x @ stn in cm</t>
  </si>
  <si>
    <t>Hgt</t>
  </si>
  <si>
    <t>beam</t>
  </si>
  <si>
    <t>ft</t>
  </si>
  <si>
    <t>in</t>
  </si>
  <si>
    <t>cm</t>
  </si>
  <si>
    <t>1/2 length</t>
  </si>
  <si>
    <t>Radius of the arc</t>
  </si>
  <si>
    <t>rocker sheer</t>
  </si>
  <si>
    <t>Sheer beam</t>
  </si>
  <si>
    <t>Z of stns in cm</t>
  </si>
  <si>
    <t>sheer</t>
  </si>
  <si>
    <t>1/2 beam</t>
  </si>
  <si>
    <t>lgth overall</t>
  </si>
  <si>
    <t>bow arc</t>
  </si>
  <si>
    <t>extra</t>
  </si>
  <si>
    <t>Arc length</t>
  </si>
  <si>
    <t>Radius</t>
  </si>
  <si>
    <t>ie  radius = h/2 + (c^2)/8h</t>
  </si>
  <si>
    <t>in cm</t>
  </si>
  <si>
    <t>from H you can calc the radius of the chord</t>
  </si>
  <si>
    <t>Half Beams</t>
  </si>
  <si>
    <t>H =  1/2 the max proposed beam</t>
  </si>
  <si>
    <t>length</t>
  </si>
  <si>
    <t>inches</t>
  </si>
  <si>
    <t>mm</t>
  </si>
  <si>
    <t>sheets</t>
  </si>
  <si>
    <t>arc length is calc using theta &amp; Radius</t>
  </si>
  <si>
    <t>Theta  in radians</t>
  </si>
  <si>
    <t>span</t>
  </si>
  <si>
    <t>3 stns</t>
  </si>
  <si>
    <r>
      <t>c = cord length (</t>
    </r>
    <r>
      <rPr>
        <b/>
        <sz val="10"/>
        <rFont val="Verdana"/>
      </rPr>
      <t>proposed length of boat</t>
    </r>
    <r>
      <rPr>
        <sz val="10"/>
        <rFont val="Verdana"/>
      </rPr>
      <t>)</t>
    </r>
  </si>
  <si>
    <t>Inches</t>
  </si>
  <si>
    <t>x @ stn     in cm</t>
  </si>
  <si>
    <t>height</t>
  </si>
  <si>
    <t>Keel offsets</t>
  </si>
  <si>
    <t>the above is for a 2x ended boat</t>
  </si>
  <si>
    <t>so…</t>
  </si>
  <si>
    <t>max available length after scarfing</t>
  </si>
  <si>
    <t>scarf losses</t>
  </si>
  <si>
    <t>Sheer</t>
  </si>
  <si>
    <t>beam amid</t>
  </si>
  <si>
    <t>depth amid</t>
  </si>
  <si>
    <t>c1</t>
  </si>
  <si>
    <t>C2</t>
  </si>
  <si>
    <t>C3</t>
  </si>
  <si>
    <t>C4</t>
  </si>
  <si>
    <t>z profile</t>
  </si>
  <si>
    <t>x</t>
  </si>
  <si>
    <t>y</t>
  </si>
  <si>
    <t>z</t>
  </si>
  <si>
    <t>keel</t>
  </si>
  <si>
    <t>Chine 1</t>
  </si>
  <si>
    <t>chine2</t>
  </si>
  <si>
    <t>Chine 3</t>
  </si>
  <si>
    <t>Chine 4</t>
  </si>
  <si>
    <t>Shr</t>
  </si>
  <si>
    <t>***   these will stay the same as they aren't affected by streching or compressing the length overall in z</t>
  </si>
  <si>
    <t>mold 1</t>
  </si>
  <si>
    <t>Mold 2</t>
  </si>
  <si>
    <t>Mold 3</t>
  </si>
  <si>
    <t>Mold 4</t>
  </si>
  <si>
    <t>Mold 5</t>
  </si>
  <si>
    <t>Mold 6</t>
  </si>
  <si>
    <t>Mold 7</t>
  </si>
  <si>
    <t>Mold 8</t>
  </si>
  <si>
    <t>Mold 9</t>
  </si>
  <si>
    <t>Mold 10</t>
  </si>
  <si>
    <t>Mold 11</t>
  </si>
  <si>
    <t>Mold 12</t>
  </si>
  <si>
    <t>Mold 13</t>
  </si>
  <si>
    <t>Mold 14</t>
  </si>
  <si>
    <t>Mold 15</t>
  </si>
  <si>
    <t>Mold 16</t>
  </si>
  <si>
    <t>Mold 17</t>
  </si>
  <si>
    <t>Mold 18</t>
  </si>
  <si>
    <t>Streched and compressed data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</si>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</sst>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12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4"/>
      <name val="Verdana"/>
    </font>
    <font>
      <b/>
      <i/>
      <u/>
      <sz val="10"/>
      <name val="Verdana"/>
    </font>
    <font>
      <sz val="8"/>
      <name val="Verdana"/>
    </font>
    <font>
      <b/>
      <sz val="15"/>
      <name val="Verdana"/>
    </font>
    <font>
      <b/>
      <sz val="2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165" fontId="3" fillId="0" borderId="0" xfId="0" applyNumberFormat="1" applyFont="1"/>
    <xf numFmtId="165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164" fontId="1" fillId="0" borderId="0" xfId="0" applyNumberFormat="1" applyFont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165" fontId="0" fillId="3" borderId="0" xfId="0" applyNumberFormat="1" applyFill="1" applyAlignment="1">
      <alignment horizontal="center"/>
    </xf>
    <xf numFmtId="0" fontId="8" fillId="0" borderId="0" xfId="0" applyFont="1"/>
    <xf numFmtId="43" fontId="0" fillId="0" borderId="0" xfId="0" applyNumberFormat="1"/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165" fontId="0" fillId="4" borderId="0" xfId="0" applyNumberFormat="1" applyFill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5" borderId="0" xfId="0" applyNumberFormat="1" applyFont="1" applyFill="1" applyAlignment="1">
      <alignment horizontal="center"/>
    </xf>
    <xf numFmtId="2" fontId="9" fillId="0" borderId="0" xfId="0" applyNumberFormat="1" applyFont="1"/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1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keel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'Plan &amp; profile data'!$C$22:$C$42</c:f>
              <c:numCache>
                <c:formatCode>0.00</c:formatCode>
                <c:ptCount val="21"/>
                <c:pt idx="0">
                  <c:v>20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data'!$F$22:$F$42</c:f>
              <c:numCache>
                <c:formatCode>0.00</c:formatCode>
                <c:ptCount val="21"/>
                <c:pt idx="0">
                  <c:v>40.638132703237389</c:v>
                </c:pt>
                <c:pt idx="1">
                  <c:v>41.493775059817963</c:v>
                </c:pt>
                <c:pt idx="2">
                  <c:v>42.259235383765954</c:v>
                </c:pt>
                <c:pt idx="3">
                  <c:v>42.93455185178631</c:v>
                </c:pt>
                <c:pt idx="4">
                  <c:v>43.519758126844536</c:v>
                </c:pt>
                <c:pt idx="5">
                  <c:v>44.014883366567702</c:v>
                </c:pt>
                <c:pt idx="6">
                  <c:v>44.419952230512209</c:v>
                </c:pt>
                <c:pt idx="7">
                  <c:v>44.734984886312887</c:v>
                </c:pt>
                <c:pt idx="8">
                  <c:v>44.959997014704314</c:v>
                </c:pt>
                <c:pt idx="9">
                  <c:v>45.094999813423456</c:v>
                </c:pt>
                <c:pt idx="10">
                  <c:v>45.14</c:v>
                </c:pt>
                <c:pt idx="11">
                  <c:v>45.094999813423456</c:v>
                </c:pt>
                <c:pt idx="12">
                  <c:v>44.959997014704314</c:v>
                </c:pt>
                <c:pt idx="13">
                  <c:v>44.734984886312887</c:v>
                </c:pt>
                <c:pt idx="14">
                  <c:v>44.419952230512209</c:v>
                </c:pt>
                <c:pt idx="15">
                  <c:v>44.014883366567702</c:v>
                </c:pt>
                <c:pt idx="16">
                  <c:v>43.519758126844536</c:v>
                </c:pt>
                <c:pt idx="17">
                  <c:v>42.93455185178631</c:v>
                </c:pt>
                <c:pt idx="18">
                  <c:v>42.259235383765954</c:v>
                </c:pt>
              </c:numCache>
            </c:numRef>
          </c:yVal>
          <c:smooth val="1"/>
        </c:ser>
        <c:ser>
          <c:idx val="1"/>
          <c:order val="1"/>
          <c:tx>
            <c:v>shr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'Plan &amp; profile data'!$AF$22:$AF$42</c:f>
              <c:numCache>
                <c:formatCode>0.00</c:formatCode>
                <c:ptCount val="21"/>
                <c:pt idx="0">
                  <c:v>0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data'!$AJ$22:$AJ$42</c:f>
              <c:numCache>
                <c:formatCode>0.00</c:formatCode>
                <c:ptCount val="21"/>
                <c:pt idx="0">
                  <c:v>-1.1597968848036544E-2</c:v>
                </c:pt>
                <c:pt idx="1">
                  <c:v>2.8170874547959102</c:v>
                </c:pt>
                <c:pt idx="2">
                  <c:v>4.0735019201079012</c:v>
                </c:pt>
                <c:pt idx="3">
                  <c:v>5.1728701096558325</c:v>
                </c:pt>
                <c:pt idx="4">
                  <c:v>6.115357987295738</c:v>
                </c:pt>
                <c:pt idx="5">
                  <c:v>6.9011076476353992</c:v>
                </c:pt>
                <c:pt idx="6">
                  <c:v>7.5302374234256604</c:v>
                </c:pt>
                <c:pt idx="7">
                  <c:v>8.0028419748341548</c:v>
                </c:pt>
                <c:pt idx="8">
                  <c:v>8.3189923607465062</c:v>
                </c:pt>
                <c:pt idx="9">
                  <c:v>8.478736092230065</c:v>
                </c:pt>
                <c:pt idx="10">
                  <c:v>8.4820971682506752</c:v>
                </c:pt>
                <c:pt idx="11">
                  <c:v>8.329076093704316</c:v>
                </c:pt>
                <c:pt idx="12">
                  <c:v>8.0196498797963613</c:v>
                </c:pt>
                <c:pt idx="13">
                  <c:v>7.5537720267675468</c:v>
                </c:pt>
                <c:pt idx="14">
                  <c:v>6.9313724889411787</c:v>
                </c:pt>
                <c:pt idx="15">
                  <c:v>6.1523576220238283</c:v>
                </c:pt>
                <c:pt idx="16">
                  <c:v>5.2166101125708337</c:v>
                </c:pt>
                <c:pt idx="17">
                  <c:v>4.1239888894911019</c:v>
                </c:pt>
                <c:pt idx="18">
                  <c:v>2.8743290174365939</c:v>
                </c:pt>
              </c:numCache>
            </c:numRef>
          </c:yVal>
          <c:smooth val="1"/>
        </c:ser>
        <c:ser>
          <c:idx val="2"/>
          <c:order val="2"/>
          <c:tx>
            <c:v>c1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'Plan &amp; profile data'!$I$22:$I$41</c:f>
              <c:numCache>
                <c:formatCode>0.00</c:formatCode>
                <c:ptCount val="20"/>
                <c:pt idx="0">
                  <c:v>14.740316163313638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data'!$L$22:$L$42</c:f>
              <c:numCache>
                <c:formatCode>0.00</c:formatCode>
                <c:ptCount val="21"/>
                <c:pt idx="0">
                  <c:v>29.952322443853312</c:v>
                </c:pt>
                <c:pt idx="1">
                  <c:v>32.236102396964974</c:v>
                </c:pt>
                <c:pt idx="2">
                  <c:v>33.864598990330954</c:v>
                </c:pt>
                <c:pt idx="3">
                  <c:v>35.300250031705467</c:v>
                </c:pt>
                <c:pt idx="4">
                  <c:v>36.543381551089873</c:v>
                </c:pt>
                <c:pt idx="5">
                  <c:v>37.594275264659949</c:v>
                </c:pt>
                <c:pt idx="6">
                  <c:v>38.453168895406883</c:v>
                </c:pt>
                <c:pt idx="7">
                  <c:v>39.120256442899766</c:v>
                </c:pt>
                <c:pt idx="8">
                  <c:v>39.595688402880818</c:v>
                </c:pt>
                <c:pt idx="9">
                  <c:v>39.879571937278591</c:v>
                </c:pt>
                <c:pt idx="10">
                  <c:v>39.971970995088007</c:v>
                </c:pt>
                <c:pt idx="11">
                  <c:v>39.872906384431893</c:v>
                </c:pt>
                <c:pt idx="12">
                  <c:v>39.582355795998659</c:v>
                </c:pt>
                <c:pt idx="13">
                  <c:v>39.100253777913871</c:v>
                </c:pt>
                <c:pt idx="14">
                  <c:v>38.426491661982503</c:v>
                </c:pt>
                <c:pt idx="15">
                  <c:v>37.560917441105424</c:v>
                </c:pt>
                <c:pt idx="16">
                  <c:v>36.503335597547697</c:v>
                </c:pt>
                <c:pt idx="17">
                  <c:v>35.253506881606221</c:v>
                </c:pt>
                <c:pt idx="18">
                  <c:v>33.811148040092824</c:v>
                </c:pt>
              </c:numCache>
            </c:numRef>
          </c:yVal>
          <c:smooth val="1"/>
        </c:ser>
        <c:ser>
          <c:idx val="3"/>
          <c:order val="3"/>
          <c:tx>
            <c:v>c2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'Plan &amp; profile data'!$O$22:$O$42</c:f>
              <c:numCache>
                <c:formatCode>0.00</c:formatCode>
                <c:ptCount val="21"/>
                <c:pt idx="0">
                  <c:v>11.229906990236945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data'!$R$22:$R$42</c:f>
              <c:numCache>
                <c:formatCode>0.00</c:formatCode>
                <c:ptCount val="21"/>
                <c:pt idx="0">
                  <c:v>22.834162346468801</c:v>
                </c:pt>
                <c:pt idx="1">
                  <c:v>25.628300578540674</c:v>
                </c:pt>
                <c:pt idx="2">
                  <c:v>27.377113803220581</c:v>
                </c:pt>
                <c:pt idx="3">
                  <c:v>28.916588286271562</c:v>
                </c:pt>
                <c:pt idx="4">
                  <c:v>30.247135623311678</c:v>
                </c:pt>
                <c:pt idx="5">
                  <c:v>31.369110682017762</c:v>
                </c:pt>
                <c:pt idx="6">
                  <c:v>32.282812077792059</c:v>
                </c:pt>
                <c:pt idx="7">
                  <c:v>32.988482572639313</c:v>
                </c:pt>
                <c:pt idx="8">
                  <c:v>33.486309398504872</c:v>
                </c:pt>
                <c:pt idx="9">
                  <c:v>33.776424506081057</c:v>
                </c:pt>
                <c:pt idx="10">
                  <c:v>33.858904739848967</c:v>
                </c:pt>
                <c:pt idx="11">
                  <c:v>33.733771939908692</c:v>
                </c:pt>
                <c:pt idx="12">
                  <c:v>33.400992970903516</c:v>
                </c:pt>
                <c:pt idx="13">
                  <c:v>32.860479678132705</c:v>
                </c:pt>
                <c:pt idx="14">
                  <c:v>32.112088770714635</c:v>
                </c:pt>
                <c:pt idx="15">
                  <c:v>31.155621631441463</c:v>
                </c:pt>
                <c:pt idx="16">
                  <c:v>29.990824052733714</c:v>
                </c:pt>
                <c:pt idx="17">
                  <c:v>28.617385897871699</c:v>
                </c:pt>
                <c:pt idx="18">
                  <c:v>27.034940686453282</c:v>
                </c:pt>
              </c:numCache>
            </c:numRef>
          </c:yVal>
          <c:smooth val="1"/>
        </c:ser>
        <c:ser>
          <c:idx val="4"/>
          <c:order val="4"/>
          <c:tx>
            <c:v>c3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'Plan &amp; profile data'!$U$22:$U$42</c:f>
              <c:numCache>
                <c:formatCode>0.00</c:formatCode>
                <c:ptCount val="21"/>
                <c:pt idx="0">
                  <c:v>8.0996102894074138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data'!$X$22:$X$42</c:f>
              <c:numCache>
                <c:formatCode>0.00</c:formatCode>
                <c:ptCount val="21"/>
                <c:pt idx="0">
                  <c:v>16.487856166291078</c:v>
                </c:pt>
                <c:pt idx="1">
                  <c:v>19.383392312485068</c:v>
                </c:pt>
                <c:pt idx="2">
                  <c:v>21.015111062727794</c:v>
                </c:pt>
                <c:pt idx="3">
                  <c:v>22.450043119014264</c:v>
                </c:pt>
                <c:pt idx="4">
                  <c:v>23.688527794026651</c:v>
                </c:pt>
                <c:pt idx="5">
                  <c:v>24.730857320337474</c:v>
                </c:pt>
                <c:pt idx="6">
                  <c:v>25.577277196725628</c:v>
                </c:pt>
                <c:pt idx="7">
                  <c:v>26.227986478226523</c:v>
                </c:pt>
                <c:pt idx="8">
                  <c:v>26.683138010718505</c:v>
                </c:pt>
                <c:pt idx="9">
                  <c:v>26.942838610693581</c:v>
                </c:pt>
                <c:pt idx="10">
                  <c:v>27.007149190702659</c:v>
                </c:pt>
                <c:pt idx="11">
                  <c:v>26.876084830827278</c:v>
                </c:pt>
                <c:pt idx="12">
                  <c:v>26.549614796362004</c:v>
                </c:pt>
                <c:pt idx="13">
                  <c:v>26.027662501768429</c:v>
                </c:pt>
                <c:pt idx="14">
                  <c:v>25.31010542079208</c:v>
                </c:pt>
                <c:pt idx="15">
                  <c:v>24.39677494250169</c:v>
                </c:pt>
                <c:pt idx="16">
                  <c:v>23.287456172853364</c:v>
                </c:pt>
                <c:pt idx="17">
                  <c:v>21.981887681235332</c:v>
                </c:pt>
                <c:pt idx="18">
                  <c:v>20.479761191290219</c:v>
                </c:pt>
              </c:numCache>
            </c:numRef>
          </c:yVal>
          <c:smooth val="1"/>
        </c:ser>
        <c:ser>
          <c:idx val="5"/>
          <c:order val="5"/>
          <c:tx>
            <c:v>c4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'Plan &amp; profile data'!$AA$22:$AA$42</c:f>
              <c:numCache>
                <c:formatCode>0.00</c:formatCode>
                <c:ptCount val="21"/>
                <c:pt idx="0">
                  <c:v>4.8505177112602249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data'!$AD$22:$AD$42</c:f>
              <c:numCache>
                <c:formatCode>0.00</c:formatCode>
                <c:ptCount val="21"/>
                <c:pt idx="0">
                  <c:v>9.8871482147279099</c:v>
                </c:pt>
                <c:pt idx="1">
                  <c:v>12.864656249270917</c:v>
                </c:pt>
                <c:pt idx="2">
                  <c:v>14.382789812773405</c:v>
                </c:pt>
                <c:pt idx="3">
                  <c:v>15.716317897388814</c:v>
                </c:pt>
                <c:pt idx="4">
                  <c:v>16.865518225498413</c:v>
                </c:pt>
                <c:pt idx="5">
                  <c:v>17.830629684375758</c:v>
                </c:pt>
                <c:pt idx="6">
                  <c:v>18.611852575434163</c:v>
                </c:pt>
                <c:pt idx="7">
                  <c:v>19.209348822662427</c:v>
                </c:pt>
                <c:pt idx="8">
                  <c:v>19.623242140757206</c:v>
                </c:pt>
                <c:pt idx="9">
                  <c:v>19.853618163357673</c:v>
                </c:pt>
                <c:pt idx="10">
                  <c:v>19.900524531698515</c:v>
                </c:pt>
                <c:pt idx="11">
                  <c:v>19.763970943888175</c:v>
                </c:pt>
                <c:pt idx="12">
                  <c:v>19.443929164938758</c:v>
                </c:pt>
                <c:pt idx="13">
                  <c:v>18.940332997565342</c:v>
                </c:pt>
                <c:pt idx="14">
                  <c:v>18.253078213688291</c:v>
                </c:pt>
                <c:pt idx="15">
                  <c:v>17.382022446473506</c:v>
                </c:pt>
                <c:pt idx="16">
                  <c:v>16.326985042645497</c:v>
                </c:pt>
                <c:pt idx="17">
                  <c:v>15.087746874718102</c:v>
                </c:pt>
                <c:pt idx="18">
                  <c:v>13.664050112686761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57984"/>
        <c:axId val="355960728"/>
      </c:scatterChart>
      <c:valAx>
        <c:axId val="35595798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60728"/>
        <c:crosses val="autoZero"/>
        <c:crossBetween val="midCat"/>
        <c:majorUnit val="200"/>
      </c:valAx>
      <c:valAx>
        <c:axId val="355960728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5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Nose 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OFFSETS!$B$2:$B$77</c:f>
              <c:numCache>
                <c:formatCode>0.0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 formatCode="_(* #,##0.00_);_(* \(#,##0.00\);_(* &quot;-&quot;??_);_(@_)">
                  <c:v>3.8258212531440599</c:v>
                </c:pt>
                <c:pt idx="8" formatCode="_(* #,##0.00_);_(* \(#,##0.00\);_(* &quot;-&quot;??_);_(@_)">
                  <c:v>7.2012205507387641</c:v>
                </c:pt>
                <c:pt idx="9" formatCode="_(* #,##0.00_);_(* \(#,##0.00\);_(* &quot;-&quot;??_);_(@_)">
                  <c:v>9.8601132261283055</c:v>
                </c:pt>
                <c:pt idx="10" formatCode="_(* #,##0.00_);_(* \(#,##0.00\);_(* &quot;-&quot;??_);_(@_)">
                  <c:v>12.193638984772363</c:v>
                </c:pt>
                <c:pt idx="11" formatCode="_(* #,##0.00_);_(* \(#,##0.00\);_(* &quot;-&quot;??_);_(@_)">
                  <c:v>14.072877478949863</c:v>
                </c:pt>
                <c:pt idx="12" formatCode="_(* #,##0.00_);_(* \(#,##0.00\);_(* &quot;-&quot;??_);_(@_)">
                  <c:v>16.04147409972051</c:v>
                </c:pt>
                <c:pt idx="14" formatCode="_(* #,##0.00_);_(* \(#,##0.00\);_(* &quot;-&quot;??_);_(@_)">
                  <c:v>7.238739145198398</c:v>
                </c:pt>
                <c:pt idx="15" formatCode="_(* #,##0.00_);_(* \(#,##0.00\);_(* &quot;-&quot;??_);_(@_)">
                  <c:v>12.301242312968395</c:v>
                </c:pt>
                <c:pt idx="16" formatCode="_(* #,##0.00_);_(* \(#,##0.00\);_(* &quot;-&quot;??_);_(@_)">
                  <c:v>15.964024440507956</c:v>
                </c:pt>
                <c:pt idx="17" formatCode="_(* #,##0.00_);_(* \(#,##0.00\);_(* &quot;-&quot;??_);_(@_)">
                  <c:v>18.962843666118331</c:v>
                </c:pt>
                <c:pt idx="18" formatCode="_(* #,##0.00_);_(* \(#,##0.00\);_(* &quot;-&quot;??_);_(@_)">
                  <c:v>21.121671636705628</c:v>
                </c:pt>
                <c:pt idx="19" formatCode="_(* #,##0.00_);_(* \(#,##0.00\);_(* &quot;-&quot;??_);_(@_)">
                  <c:v>23.024958912442791</c:v>
                </c:pt>
                <c:pt idx="21" formatCode="_(* #,##0.00_);_(* \(#,##0.00\);_(* &quot;-&quot;??_);_(@_)">
                  <c:v>10.242215780459848</c:v>
                </c:pt>
                <c:pt idx="22" formatCode="_(* #,##0.00_);_(* \(#,##0.00\);_(* &quot;-&quot;??_);_(@_)">
                  <c:v>16.773679325937575</c:v>
                </c:pt>
                <c:pt idx="23" formatCode="_(* #,##0.00_);_(* \(#,##0.00\);_(* &quot;-&quot;??_);_(@_)">
                  <c:v>21.295673711092718</c:v>
                </c:pt>
                <c:pt idx="24" formatCode="_(* #,##0.00_);_(* \(#,##0.00\);_(* &quot;-&quot;??_);_(@_)">
                  <c:v>24.857233863231002</c:v>
                </c:pt>
                <c:pt idx="25" formatCode="_(* #,##0.00_);_(* \(#,##0.00\);_(* &quot;-&quot;??_);_(@_)">
                  <c:v>27.246134880835939</c:v>
                </c:pt>
                <c:pt idx="26" formatCode="_(* #,##0.00_);_(* \(#,##0.00\);_(* &quot;-&quot;??_);_(@_)">
                  <c:v>29.067692818134439</c:v>
                </c:pt>
                <c:pt idx="28" formatCode="_(* #,##0.00_);_(* \(#,##0.00\);_(* &quot;-&quot;??_);_(@_)">
                  <c:v>12.839265962324081</c:v>
                </c:pt>
                <c:pt idx="29" formatCode="_(* #,##0.00_);_(* \(#,##0.00\);_(* &quot;-&quot;??_);_(@_)">
                  <c:v>20.628760342078419</c:v>
                </c:pt>
                <c:pt idx="30" formatCode="_(* #,##0.00_);_(* \(#,##0.00\);_(* &quot;-&quot;??_);_(@_)">
                  <c:v>25.873097051111699</c:v>
                </c:pt>
                <c:pt idx="31" formatCode="_(* #,##0.00_);_(* \(#,##0.00\);_(* &quot;-&quot;??_);_(@_)">
                  <c:v>29.901951972851251</c:v>
                </c:pt>
                <c:pt idx="32" formatCode="_(* #,##0.00_);_(* \(#,##0.00\);_(* &quot;-&quot;??_);_(@_)">
                  <c:v>32.475204234343892</c:v>
                </c:pt>
                <c:pt idx="33" formatCode="_(* #,##0.00_);_(* \(#,##0.00\);_(* &quot;-&quot;??_);_(@_)">
                  <c:v>34.199301290857413</c:v>
                </c:pt>
                <c:pt idx="35" formatCode="_(* #,##0.00_);_(* \(#,##0.00\);_(* &quot;-&quot;??_);_(@_)">
                  <c:v>15.032472710356561</c:v>
                </c:pt>
                <c:pt idx="36" formatCode="_(* #,##0.00_);_(* \(#,##0.00\);_(* &quot;-&quot;??_);_(@_)">
                  <c:v>23.875124402547169</c:v>
                </c:pt>
                <c:pt idx="37" formatCode="_(* #,##0.00_);_(* \(#,##0.00\);_(* &quot;-&quot;??_);_(@_)">
                  <c:v>29.711333108496888</c:v>
                </c:pt>
                <c:pt idx="38" formatCode="_(* #,##0.00_);_(* \(#,##0.00\);_(* &quot;-&quot;??_);_(@_)">
                  <c:v>34.1177553949138</c:v>
                </c:pt>
                <c:pt idx="39" formatCode="_(* #,##0.00_);_(* \(#,##0.00\);_(* &quot;-&quot;??_);_(@_)">
                  <c:v>36.832636197002671</c:v>
                </c:pt>
                <c:pt idx="40" formatCode="_(* #,##0.00_);_(* \(#,##0.00\);_(* &quot;-&quot;??_);_(@_)">
                  <c:v>38.443972125185375</c:v>
                </c:pt>
                <c:pt idx="42" formatCode="_(* #,##0.00_);_(* \(#,##0.00\);_(* &quot;-&quot;??_);_(@_)">
                  <c:v>16.824000355656782</c:v>
                </c:pt>
                <c:pt idx="43" formatCode="_(* #,##0.00_);_(* \(#,##0.00\);_(* &quot;-&quot;??_);_(@_)">
                  <c:v>26.519921753843175</c:v>
                </c:pt>
                <c:pt idx="44" formatCode="_(* #,##0.00_);_(* \(#,##0.00\);_(* &quot;-&quot;??_);_(@_)">
                  <c:v>32.822684967069449</c:v>
                </c:pt>
                <c:pt idx="45" formatCode="_(* #,##0.00_);_(* \(#,##0.00\);_(* &quot;-&quot;??_);_(@_)">
                  <c:v>37.521474507677411</c:v>
                </c:pt>
                <c:pt idx="46" formatCode="_(* #,##0.00_);_(* \(#,##0.00\);_(* &quot;-&quot;??_);_(@_)">
                  <c:v>40.337588401195831</c:v>
                </c:pt>
                <c:pt idx="47" formatCode="_(* #,##0.00_);_(* \(#,##0.00\);_(* &quot;-&quot;??_);_(@_)">
                  <c:v>41.821068564340855</c:v>
                </c:pt>
                <c:pt idx="49" formatCode="_(* #,##0.00_);_(* \(#,##0.00\);_(* &quot;-&quot;??_);_(@_)">
                  <c:v>18.215605372452902</c:v>
                </c:pt>
                <c:pt idx="50" formatCode="_(* #,##0.00_);_(* \(#,##0.00\);_(* &quot;-&quot;??_);_(@_)">
                  <c:v>28.568895045042733</c:v>
                </c:pt>
                <c:pt idx="51" formatCode="_(* #,##0.00_);_(* \(#,##0.00\);_(* &quot;-&quot;??_);_(@_)">
                  <c:v>35.21692592110378</c:v>
                </c:pt>
                <c:pt idx="52" formatCode="_(* #,##0.00_);_(* \(#,##0.00\);_(* &quot;-&quot;??_);_(@_)">
                  <c:v>40.126366300239354</c:v>
                </c:pt>
                <c:pt idx="53" formatCode="_(* #,##0.00_);_(* \(#,##0.00\);_(* &quot;-&quot;??_);_(@_)">
                  <c:v>43.005064486180231</c:v>
                </c:pt>
                <c:pt idx="54" formatCode="_(* #,##0.00_);_(* \(#,##0.00\);_(* &quot;-&quot;??_);_(@_)">
                  <c:v>44.345594846429314</c:v>
                </c:pt>
                <c:pt idx="56" formatCode="_(* #,##0.00_);_(* \(#,##0.00\);_(* &quot;-&quot;??_);_(@_)">
                  <c:v>19.20864507426899</c:v>
                </c:pt>
                <c:pt idx="57" formatCode="_(* #,##0.00_);_(* \(#,##0.00\);_(* &quot;-&quot;??_);_(@_)">
                  <c:v>30.026443024744832</c:v>
                </c:pt>
                <c:pt idx="58" formatCode="_(* #,##0.00_);_(* \(#,##0.00\);_(* &quot;-&quot;??_);_(@_)">
                  <c:v>36.90145760299913</c:v>
                </c:pt>
                <c:pt idx="59" formatCode="_(* #,##0.00_);_(* \(#,##0.00\);_(* &quot;-&quot;??_);_(@_)">
                  <c:v>41.94238190418146</c:v>
                </c:pt>
                <c:pt idx="60" formatCode="_(* #,##0.00_);_(* \(#,##0.00\);_(* &quot;-&quot;??_);_(@_)">
                  <c:v>44.846247640935189</c:v>
                </c:pt>
                <c:pt idx="61" formatCode="_(* #,##0.00_);_(* \(#,##0.00\);_(* &quot;-&quot;??_);_(@_)">
                  <c:v>46.028541698540714</c:v>
                </c:pt>
                <c:pt idx="63" formatCode="_(* #,##0.00_);_(* \(#,##0.00\);_(* &quot;-&quot;??_);_(@_)">
                  <c:v>19.804084276180394</c:v>
                </c:pt>
                <c:pt idx="64" formatCode="_(* #,##0.00_);_(* \(#,##0.00\);_(* &quot;-&quot;??_);_(@_)">
                  <c:v>30.895668423667427</c:v>
                </c:pt>
                <c:pt idx="65" formatCode="_(* #,##0.00_);_(* \(#,##0.00\);_(* &quot;-&quot;??_);_(@_)">
                  <c:v>37.881426621420928</c:v>
                </c:pt>
                <c:pt idx="66" formatCode="_(* #,##0.00_);_(* \(#,##0.00\);_(* &quot;-&quot;??_);_(@_)">
                  <c:v>42.976361097219481</c:v>
                </c:pt>
                <c:pt idx="67" formatCode="_(* #,##0.00_);_(* \(#,##0.00\);_(* &quot;-&quot;??_);_(@_)">
                  <c:v>45.868740814282773</c:v>
                </c:pt>
                <c:pt idx="68" formatCode="_(* #,##0.00_);_(* \(#,##0.00\);_(* &quot;-&quot;??_);_(@_)">
                  <c:v>46.877131057298463</c:v>
                </c:pt>
                <c:pt idx="70" formatCode="_(* #,##0.00_);_(* \(#,##0.00\);_(* &quot;-&quot;??_);_(@_)">
                  <c:v>20.002500000000001</c:v>
                </c:pt>
                <c:pt idx="71" formatCode="_(* #,##0.00_);_(* \(#,##0.00\);_(* &quot;-&quot;??_);_(@_)">
                  <c:v>31.178411257876984</c:v>
                </c:pt>
                <c:pt idx="72" formatCode="_(* #,##0.00_);_(* \(#,##0.00\);_(* &quot;-&quot;??_);_(@_)">
                  <c:v>38.159804090456419</c:v>
                </c:pt>
                <c:pt idx="73" formatCode="_(* #,##0.00_);_(* \(#,##0.00\);_(* &quot;-&quot;??_);_(@_)">
                  <c:v>43.232162877278554</c:v>
                </c:pt>
                <c:pt idx="74" formatCode="_(* #,##0.00_);_(* \(#,##0.00\);_(* &quot;-&quot;??_);_(@_)">
                  <c:v>46.076725960214162</c:v>
                </c:pt>
                <c:pt idx="75" formatCode="_(* #,##0.00_);_(* \(#,##0.00\);_(* &quot;-&quot;??_);_(@_)">
                  <c:v>46.894973057424629</c:v>
                </c:pt>
              </c:numCache>
            </c:numRef>
          </c:xVal>
          <c:yVal>
            <c:numRef>
              <c:f>OFFSETS!$C$2:$C$77</c:f>
              <c:numCache>
                <c:formatCode>_(* #,##0.00_);_(* \(#,##0.00\);_(* "-"??_);_(@_)</c:formatCode>
                <c:ptCount val="76"/>
                <c:pt idx="0">
                  <c:v>40.638132703237389</c:v>
                </c:pt>
                <c:pt idx="1">
                  <c:v>29.952322443853312</c:v>
                </c:pt>
                <c:pt idx="2">
                  <c:v>22.834162346468801</c:v>
                </c:pt>
                <c:pt idx="3">
                  <c:v>16.487856166291078</c:v>
                </c:pt>
                <c:pt idx="4">
                  <c:v>9.8871482147279099</c:v>
                </c:pt>
                <c:pt idx="5" formatCode="0.0">
                  <c:v>-1.1597968848036544E-2</c:v>
                </c:pt>
                <c:pt idx="7">
                  <c:v>41.493775059817963</c:v>
                </c:pt>
                <c:pt idx="8">
                  <c:v>32.236102396964974</c:v>
                </c:pt>
                <c:pt idx="9">
                  <c:v>25.628300578540674</c:v>
                </c:pt>
                <c:pt idx="10">
                  <c:v>19.383392312485068</c:v>
                </c:pt>
                <c:pt idx="11">
                  <c:v>12.864656249270917</c:v>
                </c:pt>
                <c:pt idx="12">
                  <c:v>2.8170874547959102</c:v>
                </c:pt>
                <c:pt idx="14">
                  <c:v>42.259235383765954</c:v>
                </c:pt>
                <c:pt idx="15">
                  <c:v>33.864598990330954</c:v>
                </c:pt>
                <c:pt idx="16">
                  <c:v>27.377113803220581</c:v>
                </c:pt>
                <c:pt idx="17">
                  <c:v>21.015111062727794</c:v>
                </c:pt>
                <c:pt idx="18">
                  <c:v>14.382789812773405</c:v>
                </c:pt>
                <c:pt idx="19">
                  <c:v>4.0735019201079012</c:v>
                </c:pt>
                <c:pt idx="21">
                  <c:v>42.93455185178631</c:v>
                </c:pt>
                <c:pt idx="22">
                  <c:v>35.300250031705467</c:v>
                </c:pt>
                <c:pt idx="23">
                  <c:v>28.916588286271562</c:v>
                </c:pt>
                <c:pt idx="24">
                  <c:v>22.450043119014264</c:v>
                </c:pt>
                <c:pt idx="25">
                  <c:v>15.716317897388814</c:v>
                </c:pt>
                <c:pt idx="26">
                  <c:v>5.1728701096558325</c:v>
                </c:pt>
                <c:pt idx="28">
                  <c:v>43.519758126844536</c:v>
                </c:pt>
                <c:pt idx="29">
                  <c:v>36.543381551089873</c:v>
                </c:pt>
                <c:pt idx="30">
                  <c:v>30.247135623311678</c:v>
                </c:pt>
                <c:pt idx="31">
                  <c:v>23.688527794026651</c:v>
                </c:pt>
                <c:pt idx="32">
                  <c:v>16.865518225498413</c:v>
                </c:pt>
                <c:pt idx="33">
                  <c:v>6.115357987295738</c:v>
                </c:pt>
                <c:pt idx="35">
                  <c:v>44.014883366567702</c:v>
                </c:pt>
                <c:pt idx="36">
                  <c:v>37.594275264659949</c:v>
                </c:pt>
                <c:pt idx="37">
                  <c:v>31.369110682017762</c:v>
                </c:pt>
                <c:pt idx="38">
                  <c:v>24.730857320337474</c:v>
                </c:pt>
                <c:pt idx="39">
                  <c:v>17.830629684375758</c:v>
                </c:pt>
                <c:pt idx="40">
                  <c:v>6.9011076476353992</c:v>
                </c:pt>
                <c:pt idx="42">
                  <c:v>44.419952230512209</c:v>
                </c:pt>
                <c:pt idx="43">
                  <c:v>38.453168895406883</c:v>
                </c:pt>
                <c:pt idx="44">
                  <c:v>32.282812077792059</c:v>
                </c:pt>
                <c:pt idx="45">
                  <c:v>25.577277196725628</c:v>
                </c:pt>
                <c:pt idx="46">
                  <c:v>18.611852575434163</c:v>
                </c:pt>
                <c:pt idx="47">
                  <c:v>7.5302374234256604</c:v>
                </c:pt>
                <c:pt idx="49">
                  <c:v>44.734984886312887</c:v>
                </c:pt>
                <c:pt idx="50">
                  <c:v>39.120256442899766</c:v>
                </c:pt>
                <c:pt idx="51">
                  <c:v>32.988482572639313</c:v>
                </c:pt>
                <c:pt idx="52">
                  <c:v>26.227986478226523</c:v>
                </c:pt>
                <c:pt idx="53">
                  <c:v>19.209348822662427</c:v>
                </c:pt>
                <c:pt idx="54">
                  <c:v>8.0028419748341548</c:v>
                </c:pt>
                <c:pt idx="56">
                  <c:v>44.959997014704314</c:v>
                </c:pt>
                <c:pt idx="57">
                  <c:v>39.595688402880818</c:v>
                </c:pt>
                <c:pt idx="58">
                  <c:v>33.486309398504872</c:v>
                </c:pt>
                <c:pt idx="59">
                  <c:v>26.683138010718505</c:v>
                </c:pt>
                <c:pt idx="60">
                  <c:v>19.623242140757206</c:v>
                </c:pt>
                <c:pt idx="61">
                  <c:v>8.3189923607465062</c:v>
                </c:pt>
                <c:pt idx="63">
                  <c:v>45.094999813423456</c:v>
                </c:pt>
                <c:pt idx="64">
                  <c:v>39.879571937278591</c:v>
                </c:pt>
                <c:pt idx="65">
                  <c:v>33.776424506081057</c:v>
                </c:pt>
                <c:pt idx="66">
                  <c:v>26.942838610693581</c:v>
                </c:pt>
                <c:pt idx="67">
                  <c:v>19.853618163357673</c:v>
                </c:pt>
                <c:pt idx="68">
                  <c:v>8.478736092230065</c:v>
                </c:pt>
                <c:pt idx="70">
                  <c:v>45.14</c:v>
                </c:pt>
                <c:pt idx="71">
                  <c:v>39.971970995088007</c:v>
                </c:pt>
                <c:pt idx="72">
                  <c:v>33.858904739848967</c:v>
                </c:pt>
                <c:pt idx="73">
                  <c:v>27.007149190702659</c:v>
                </c:pt>
                <c:pt idx="74">
                  <c:v>19.900524531698515</c:v>
                </c:pt>
                <c:pt idx="75">
                  <c:v>8.4820971682506752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62296"/>
        <c:axId val="355962688"/>
      </c:scatterChart>
      <c:valAx>
        <c:axId val="355962296"/>
        <c:scaling>
          <c:orientation val="minMax"/>
          <c:max val="7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62688"/>
        <c:crosses val="autoZero"/>
        <c:crossBetween val="midCat"/>
      </c:valAx>
      <c:valAx>
        <c:axId val="355962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62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OFFSETS!$B$72:$B$133</c:f>
              <c:numCache>
                <c:formatCode>_(* #,##0.00_);_(* \(#,##0.00\);_(* "-"??_);_(@_)</c:formatCode>
                <c:ptCount val="62"/>
                <c:pt idx="0">
                  <c:v>20.002500000000001</c:v>
                </c:pt>
                <c:pt idx="1">
                  <c:v>31.178411257876984</c:v>
                </c:pt>
                <c:pt idx="2">
                  <c:v>38.159804090456419</c:v>
                </c:pt>
                <c:pt idx="3">
                  <c:v>43.232162877278554</c:v>
                </c:pt>
                <c:pt idx="4">
                  <c:v>46.076725960214162</c:v>
                </c:pt>
                <c:pt idx="5">
                  <c:v>46.894973057424629</c:v>
                </c:pt>
                <c:pt idx="7">
                  <c:v>19.804084276180394</c:v>
                </c:pt>
                <c:pt idx="8">
                  <c:v>30.875268394977763</c:v>
                </c:pt>
                <c:pt idx="9">
                  <c:v>37.7374309565148</c:v>
                </c:pt>
                <c:pt idx="10">
                  <c:v>42.710738018448481</c:v>
                </c:pt>
                <c:pt idx="11">
                  <c:v>45.471050236089354</c:v>
                </c:pt>
                <c:pt idx="12">
                  <c:v>46.08214337963863</c:v>
                </c:pt>
                <c:pt idx="14">
                  <c:v>19.20864507426899</c:v>
                </c:pt>
                <c:pt idx="15">
                  <c:v>29.985599871710757</c:v>
                </c:pt>
                <c:pt idx="16">
                  <c:v>36.613030750147573</c:v>
                </c:pt>
                <c:pt idx="17">
                  <c:v>41.410146824222764</c:v>
                </c:pt>
                <c:pt idx="18">
                  <c:v>44.049243344107936</c:v>
                </c:pt>
                <c:pt idx="19">
                  <c:v>44.435184864106866</c:v>
                </c:pt>
                <c:pt idx="21">
                  <c:v>18.215605372452902</c:v>
                </c:pt>
                <c:pt idx="22">
                  <c:v>28.507522119649263</c:v>
                </c:pt>
                <c:pt idx="23">
                  <c:v>34.783190216670732</c:v>
                </c:pt>
                <c:pt idx="24">
                  <c:v>39.325522857150375</c:v>
                </c:pt>
                <c:pt idx="25">
                  <c:v>41.805466850903258</c:v>
                </c:pt>
                <c:pt idx="26">
                  <c:v>41.947033470355102</c:v>
                </c:pt>
                <c:pt idx="28">
                  <c:v>16.824000355656782</c:v>
                </c:pt>
                <c:pt idx="29">
                  <c:v>26.437887930957924</c:v>
                </c:pt>
                <c:pt idx="30">
                  <c:v>32.242307135490364</c:v>
                </c:pt>
                <c:pt idx="31">
                  <c:v>36.448981049915304</c:v>
                </c:pt>
                <c:pt idx="32">
                  <c:v>38.730393037693943</c:v>
                </c:pt>
                <c:pt idx="33">
                  <c:v>38.606864846637784</c:v>
                </c:pt>
                <c:pt idx="35">
                  <c:v>15.032472710356561</c:v>
                </c:pt>
                <c:pt idx="36">
                  <c:v>23.772252663907249</c:v>
                </c:pt>
                <c:pt idx="37">
                  <c:v>28.982503449425508</c:v>
                </c:pt>
                <c:pt idx="38">
                  <c:v>32.76946610116552</c:v>
                </c:pt>
                <c:pt idx="39">
                  <c:v>34.811007335739191</c:v>
                </c:pt>
                <c:pt idx="40">
                  <c:v>34.399853609884524</c:v>
                </c:pt>
                <c:pt idx="42">
                  <c:v>12.839265962324081</c:v>
                </c:pt>
                <c:pt idx="43">
                  <c:v>20.50482583290319</c:v>
                </c:pt>
                <c:pt idx="44">
                  <c:v>24.993500513564527</c:v>
                </c:pt>
                <c:pt idx="45">
                  <c:v>28.27253422415852</c:v>
                </c:pt>
                <c:pt idx="46">
                  <c:v>30.03032437030356</c:v>
                </c:pt>
                <c:pt idx="47">
                  <c:v>29.306832529621822</c:v>
                </c:pt>
                <c:pt idx="49">
                  <c:v>10.242215780459848</c:v>
                </c:pt>
                <c:pt idx="50">
                  <c:v>16.628406833453266</c:v>
                </c:pt>
                <c:pt idx="51">
                  <c:v>20.262451746893362</c:v>
                </c:pt>
                <c:pt idx="52">
                  <c:v>22.940057898071316</c:v>
                </c:pt>
                <c:pt idx="53">
                  <c:v>24.367002675558751</c:v>
                </c:pt>
                <c:pt idx="54">
                  <c:v>23.303832640663352</c:v>
                </c:pt>
                <c:pt idx="56">
                  <c:v>7.238739145198398</c:v>
                </c:pt>
                <c:pt idx="57">
                  <c:v>12.134303099104965</c:v>
                </c:pt>
                <c:pt idx="58">
                  <c:v>14.773726114608849</c:v>
                </c:pt>
                <c:pt idx="59">
                  <c:v>16.749838942291333</c:v>
                </c:pt>
                <c:pt idx="60">
                  <c:v>17.794836717653766</c:v>
                </c:pt>
                <c:pt idx="61">
                  <c:v>16.36147716371044</c:v>
                </c:pt>
              </c:numCache>
            </c:numRef>
          </c:xVal>
          <c:yVal>
            <c:numRef>
              <c:f>OFFSETS!$C$72:$C$133</c:f>
              <c:numCache>
                <c:formatCode>_(* #,##0.00_);_(* \(#,##0.00\);_(* "-"??_);_(@_)</c:formatCode>
                <c:ptCount val="62"/>
                <c:pt idx="0">
                  <c:v>45.14</c:v>
                </c:pt>
                <c:pt idx="1">
                  <c:v>39.971970995088007</c:v>
                </c:pt>
                <c:pt idx="2">
                  <c:v>33.858904739848967</c:v>
                </c:pt>
                <c:pt idx="3">
                  <c:v>27.007149190702659</c:v>
                </c:pt>
                <c:pt idx="4">
                  <c:v>19.900524531698515</c:v>
                </c:pt>
                <c:pt idx="5">
                  <c:v>8.4820971682506752</c:v>
                </c:pt>
                <c:pt idx="7">
                  <c:v>45.094999813423456</c:v>
                </c:pt>
                <c:pt idx="8">
                  <c:v>39.872906384431893</c:v>
                </c:pt>
                <c:pt idx="9">
                  <c:v>33.733771939908692</c:v>
                </c:pt>
                <c:pt idx="10">
                  <c:v>26.876084830827278</c:v>
                </c:pt>
                <c:pt idx="11">
                  <c:v>19.763970943888175</c:v>
                </c:pt>
                <c:pt idx="12">
                  <c:v>8.329076093704316</c:v>
                </c:pt>
                <c:pt idx="14">
                  <c:v>44.959997014704314</c:v>
                </c:pt>
                <c:pt idx="15">
                  <c:v>39.582355795998659</c:v>
                </c:pt>
                <c:pt idx="16">
                  <c:v>33.400992970903516</c:v>
                </c:pt>
                <c:pt idx="17">
                  <c:v>26.549614796362004</c:v>
                </c:pt>
                <c:pt idx="18">
                  <c:v>19.443929164938758</c:v>
                </c:pt>
                <c:pt idx="19">
                  <c:v>8.0196498797963613</c:v>
                </c:pt>
                <c:pt idx="21">
                  <c:v>44.734984886312887</c:v>
                </c:pt>
                <c:pt idx="22">
                  <c:v>39.100253777913871</c:v>
                </c:pt>
                <c:pt idx="23">
                  <c:v>32.860479678132705</c:v>
                </c:pt>
                <c:pt idx="24">
                  <c:v>26.027662501768429</c:v>
                </c:pt>
                <c:pt idx="25">
                  <c:v>18.940332997565342</c:v>
                </c:pt>
                <c:pt idx="26">
                  <c:v>7.5537720267675468</c:v>
                </c:pt>
                <c:pt idx="28">
                  <c:v>44.419952230512209</c:v>
                </c:pt>
                <c:pt idx="29">
                  <c:v>38.426491661982503</c:v>
                </c:pt>
                <c:pt idx="30">
                  <c:v>32.112088770714635</c:v>
                </c:pt>
                <c:pt idx="31">
                  <c:v>25.31010542079208</c:v>
                </c:pt>
                <c:pt idx="32">
                  <c:v>18.253078213688291</c:v>
                </c:pt>
                <c:pt idx="33">
                  <c:v>6.9313724889411787</c:v>
                </c:pt>
                <c:pt idx="35">
                  <c:v>44.014883366567702</c:v>
                </c:pt>
                <c:pt idx="36">
                  <c:v>37.560917441105424</c:v>
                </c:pt>
                <c:pt idx="37">
                  <c:v>31.155621631441463</c:v>
                </c:pt>
                <c:pt idx="38">
                  <c:v>24.39677494250169</c:v>
                </c:pt>
                <c:pt idx="39">
                  <c:v>17.382022446473506</c:v>
                </c:pt>
                <c:pt idx="40">
                  <c:v>6.1523576220238283</c:v>
                </c:pt>
                <c:pt idx="42">
                  <c:v>43.519758126844536</c:v>
                </c:pt>
                <c:pt idx="43">
                  <c:v>36.503335597547697</c:v>
                </c:pt>
                <c:pt idx="44">
                  <c:v>29.990824052733714</c:v>
                </c:pt>
                <c:pt idx="45">
                  <c:v>23.287456172853364</c:v>
                </c:pt>
                <c:pt idx="46">
                  <c:v>16.326985042645497</c:v>
                </c:pt>
                <c:pt idx="47">
                  <c:v>5.2166101125708337</c:v>
                </c:pt>
                <c:pt idx="49">
                  <c:v>42.93455185178631</c:v>
                </c:pt>
                <c:pt idx="50">
                  <c:v>35.253506881606221</c:v>
                </c:pt>
                <c:pt idx="51">
                  <c:v>28.617385897871699</c:v>
                </c:pt>
                <c:pt idx="52">
                  <c:v>21.981887681235332</c:v>
                </c:pt>
                <c:pt idx="53">
                  <c:v>15.087746874718102</c:v>
                </c:pt>
                <c:pt idx="54">
                  <c:v>4.1239888894911019</c:v>
                </c:pt>
                <c:pt idx="56">
                  <c:v>42.259235383765954</c:v>
                </c:pt>
                <c:pt idx="57">
                  <c:v>33.811148040092824</c:v>
                </c:pt>
                <c:pt idx="58">
                  <c:v>27.034940686453282</c:v>
                </c:pt>
                <c:pt idx="59">
                  <c:v>20.479761191290219</c:v>
                </c:pt>
                <c:pt idx="60">
                  <c:v>13.664050112686761</c:v>
                </c:pt>
                <c:pt idx="61">
                  <c:v>2.8743290174365939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63080"/>
        <c:axId val="355958376"/>
      </c:scatterChart>
      <c:valAx>
        <c:axId val="35596308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58376"/>
        <c:crosses val="autoZero"/>
        <c:crossBetween val="midCat"/>
      </c:valAx>
      <c:valAx>
        <c:axId val="35595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63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keel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'Plan &amp; profile data'!$C$22:$C$42</c:f>
              <c:numCache>
                <c:formatCode>0.00</c:formatCode>
                <c:ptCount val="21"/>
                <c:pt idx="0">
                  <c:v>20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data'!$E$22:$E$42</c:f>
              <c:numCache>
                <c:formatCode>0.00</c:formatCode>
                <c:ptCount val="21"/>
                <c:pt idx="0">
                  <c:v>-5.3290705182007514E-14</c:v>
                </c:pt>
                <c:pt idx="1">
                  <c:v>3.8258212531440599</c:v>
                </c:pt>
                <c:pt idx="2">
                  <c:v>7.238739145198398</c:v>
                </c:pt>
                <c:pt idx="3">
                  <c:v>10.242215780459848</c:v>
                </c:pt>
                <c:pt idx="4">
                  <c:v>12.839265962324081</c:v>
                </c:pt>
                <c:pt idx="5">
                  <c:v>15.032472710356561</c:v>
                </c:pt>
                <c:pt idx="6">
                  <c:v>16.824000355656782</c:v>
                </c:pt>
                <c:pt idx="7">
                  <c:v>18.215605372452902</c:v>
                </c:pt>
                <c:pt idx="8">
                  <c:v>19.20864507426899</c:v>
                </c:pt>
                <c:pt idx="9">
                  <c:v>19.804084276180394</c:v>
                </c:pt>
                <c:pt idx="10">
                  <c:v>20.002500000000001</c:v>
                </c:pt>
                <c:pt idx="11">
                  <c:v>19.804084276180394</c:v>
                </c:pt>
                <c:pt idx="12">
                  <c:v>19.20864507426899</c:v>
                </c:pt>
                <c:pt idx="13">
                  <c:v>18.215605372452902</c:v>
                </c:pt>
                <c:pt idx="14">
                  <c:v>16.824000355656782</c:v>
                </c:pt>
                <c:pt idx="15">
                  <c:v>15.032472710356561</c:v>
                </c:pt>
                <c:pt idx="16">
                  <c:v>12.839265962324081</c:v>
                </c:pt>
                <c:pt idx="17">
                  <c:v>10.242215780459848</c:v>
                </c:pt>
                <c:pt idx="18">
                  <c:v>7.238739145198398</c:v>
                </c:pt>
              </c:numCache>
            </c:numRef>
          </c:yVal>
          <c:smooth val="1"/>
        </c:ser>
        <c:ser>
          <c:idx val="2"/>
          <c:order val="1"/>
          <c:tx>
            <c:v>shr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'Plan &amp; profile data'!$AF$22:$AF$42</c:f>
              <c:numCache>
                <c:formatCode>0.00</c:formatCode>
                <c:ptCount val="21"/>
                <c:pt idx="0">
                  <c:v>0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data'!$AI$22:$AI$42</c:f>
              <c:numCache>
                <c:formatCode>0.00</c:formatCode>
                <c:ptCount val="21"/>
                <c:pt idx="0">
                  <c:v>0</c:v>
                </c:pt>
                <c:pt idx="1">
                  <c:v>16.04147409972051</c:v>
                </c:pt>
                <c:pt idx="2">
                  <c:v>23.024958912442791</c:v>
                </c:pt>
                <c:pt idx="3">
                  <c:v>29.067692818134439</c:v>
                </c:pt>
                <c:pt idx="4">
                  <c:v>34.199301290857413</c:v>
                </c:pt>
                <c:pt idx="5">
                  <c:v>38.443972125185375</c:v>
                </c:pt>
                <c:pt idx="6">
                  <c:v>41.821068564340855</c:v>
                </c:pt>
                <c:pt idx="7">
                  <c:v>44.345594846429314</c:v>
                </c:pt>
                <c:pt idx="8">
                  <c:v>46.028541698540714</c:v>
                </c:pt>
                <c:pt idx="9">
                  <c:v>46.877131057298463</c:v>
                </c:pt>
                <c:pt idx="10">
                  <c:v>46.894973057424629</c:v>
                </c:pt>
                <c:pt idx="11">
                  <c:v>46.08214337963863</c:v>
                </c:pt>
                <c:pt idx="12">
                  <c:v>44.435184864106866</c:v>
                </c:pt>
                <c:pt idx="13">
                  <c:v>41.947033470355102</c:v>
                </c:pt>
                <c:pt idx="14">
                  <c:v>38.606864846637784</c:v>
                </c:pt>
                <c:pt idx="15">
                  <c:v>34.399853609884524</c:v>
                </c:pt>
                <c:pt idx="16">
                  <c:v>29.306832529621822</c:v>
                </c:pt>
                <c:pt idx="17">
                  <c:v>23.303832640663352</c:v>
                </c:pt>
                <c:pt idx="18">
                  <c:v>16.36147716371044</c:v>
                </c:pt>
              </c:numCache>
            </c:numRef>
          </c:yVal>
          <c:smooth val="1"/>
        </c:ser>
        <c:ser>
          <c:idx val="0"/>
          <c:order val="2"/>
          <c:tx>
            <c:v>c1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'Plan &amp; profile data'!$I$22:$I$41</c:f>
              <c:numCache>
                <c:formatCode>0.00</c:formatCode>
                <c:ptCount val="20"/>
                <c:pt idx="0">
                  <c:v>14.740316163313638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data'!$K$22:$K$42</c:f>
              <c:numCache>
                <c:formatCode>0.00</c:formatCode>
                <c:ptCount val="21"/>
                <c:pt idx="0">
                  <c:v>0</c:v>
                </c:pt>
                <c:pt idx="1">
                  <c:v>7.2012205507387641</c:v>
                </c:pt>
                <c:pt idx="2">
                  <c:v>12.301242312968395</c:v>
                </c:pt>
                <c:pt idx="3">
                  <c:v>16.773679325937575</c:v>
                </c:pt>
                <c:pt idx="4">
                  <c:v>20.628760342078419</c:v>
                </c:pt>
                <c:pt idx="5">
                  <c:v>23.875124402547169</c:v>
                </c:pt>
                <c:pt idx="6">
                  <c:v>26.519921753843175</c:v>
                </c:pt>
                <c:pt idx="7">
                  <c:v>28.568895045042733</c:v>
                </c:pt>
                <c:pt idx="8">
                  <c:v>30.026443024744832</c:v>
                </c:pt>
                <c:pt idx="9">
                  <c:v>30.895668423667427</c:v>
                </c:pt>
                <c:pt idx="10">
                  <c:v>31.178411257876984</c:v>
                </c:pt>
                <c:pt idx="11">
                  <c:v>30.875268394977763</c:v>
                </c:pt>
                <c:pt idx="12">
                  <c:v>29.985599871710757</c:v>
                </c:pt>
                <c:pt idx="13">
                  <c:v>28.507522119649263</c:v>
                </c:pt>
                <c:pt idx="14">
                  <c:v>26.437887930957924</c:v>
                </c:pt>
                <c:pt idx="15">
                  <c:v>23.772252663907249</c:v>
                </c:pt>
                <c:pt idx="16">
                  <c:v>20.50482583290319</c:v>
                </c:pt>
                <c:pt idx="17">
                  <c:v>16.628406833453266</c:v>
                </c:pt>
                <c:pt idx="18">
                  <c:v>12.134303099104965</c:v>
                </c:pt>
              </c:numCache>
            </c:numRef>
          </c:yVal>
          <c:smooth val="1"/>
        </c:ser>
        <c:ser>
          <c:idx val="3"/>
          <c:order val="3"/>
          <c:tx>
            <c:v>C2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'Plan &amp; profile data'!$O$22:$O$42</c:f>
              <c:numCache>
                <c:formatCode>0.00</c:formatCode>
                <c:ptCount val="21"/>
                <c:pt idx="0">
                  <c:v>11.229906990236945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data'!$Q$22:$Q$42</c:f>
              <c:numCache>
                <c:formatCode>0.00</c:formatCode>
                <c:ptCount val="21"/>
                <c:pt idx="0">
                  <c:v>0</c:v>
                </c:pt>
                <c:pt idx="1">
                  <c:v>9.8601132261283055</c:v>
                </c:pt>
                <c:pt idx="2">
                  <c:v>15.964024440507956</c:v>
                </c:pt>
                <c:pt idx="3">
                  <c:v>21.295673711092718</c:v>
                </c:pt>
                <c:pt idx="4">
                  <c:v>25.873097051111699</c:v>
                </c:pt>
                <c:pt idx="5">
                  <c:v>29.711333108496888</c:v>
                </c:pt>
                <c:pt idx="6">
                  <c:v>32.822684967069449</c:v>
                </c:pt>
                <c:pt idx="7">
                  <c:v>35.21692592110378</c:v>
                </c:pt>
                <c:pt idx="8">
                  <c:v>36.90145760299913</c:v>
                </c:pt>
                <c:pt idx="9">
                  <c:v>37.881426621420928</c:v>
                </c:pt>
                <c:pt idx="10">
                  <c:v>38.159804090456419</c:v>
                </c:pt>
                <c:pt idx="11">
                  <c:v>37.7374309565148</c:v>
                </c:pt>
                <c:pt idx="12">
                  <c:v>36.613030750147573</c:v>
                </c:pt>
                <c:pt idx="13">
                  <c:v>34.783190216670732</c:v>
                </c:pt>
                <c:pt idx="14">
                  <c:v>32.242307135490364</c:v>
                </c:pt>
                <c:pt idx="15">
                  <c:v>28.982503449425508</c:v>
                </c:pt>
                <c:pt idx="16">
                  <c:v>24.993500513564527</c:v>
                </c:pt>
                <c:pt idx="17">
                  <c:v>20.262451746893362</c:v>
                </c:pt>
                <c:pt idx="18">
                  <c:v>14.773726114608849</c:v>
                </c:pt>
              </c:numCache>
            </c:numRef>
          </c:yVal>
          <c:smooth val="1"/>
        </c:ser>
        <c:ser>
          <c:idx val="4"/>
          <c:order val="4"/>
          <c:tx>
            <c:v>c3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'Plan &amp; profile data'!$U$22:$U$42</c:f>
              <c:numCache>
                <c:formatCode>0.00</c:formatCode>
                <c:ptCount val="21"/>
                <c:pt idx="0">
                  <c:v>8.0996102894074138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data'!$W$22:$W$42</c:f>
              <c:numCache>
                <c:formatCode>0.00</c:formatCode>
                <c:ptCount val="21"/>
                <c:pt idx="0">
                  <c:v>0</c:v>
                </c:pt>
                <c:pt idx="1">
                  <c:v>12.193638984772363</c:v>
                </c:pt>
                <c:pt idx="2">
                  <c:v>18.962843666118331</c:v>
                </c:pt>
                <c:pt idx="3">
                  <c:v>24.857233863231002</c:v>
                </c:pt>
                <c:pt idx="4">
                  <c:v>29.901951972851251</c:v>
                </c:pt>
                <c:pt idx="5">
                  <c:v>34.1177553949138</c:v>
                </c:pt>
                <c:pt idx="6">
                  <c:v>37.521474507677411</c:v>
                </c:pt>
                <c:pt idx="7">
                  <c:v>40.126366300239354</c:v>
                </c:pt>
                <c:pt idx="8">
                  <c:v>41.94238190418146</c:v>
                </c:pt>
                <c:pt idx="9">
                  <c:v>42.976361097219481</c:v>
                </c:pt>
                <c:pt idx="10">
                  <c:v>43.232162877278554</c:v>
                </c:pt>
                <c:pt idx="11">
                  <c:v>42.710738018448481</c:v>
                </c:pt>
                <c:pt idx="12">
                  <c:v>41.410146824222764</c:v>
                </c:pt>
                <c:pt idx="13">
                  <c:v>39.325522857150375</c:v>
                </c:pt>
                <c:pt idx="14">
                  <c:v>36.448981049915304</c:v>
                </c:pt>
                <c:pt idx="15">
                  <c:v>32.76946610116552</c:v>
                </c:pt>
                <c:pt idx="16">
                  <c:v>28.27253422415852</c:v>
                </c:pt>
                <c:pt idx="17">
                  <c:v>22.940057898071316</c:v>
                </c:pt>
                <c:pt idx="18">
                  <c:v>16.749838942291333</c:v>
                </c:pt>
              </c:numCache>
            </c:numRef>
          </c:yVal>
          <c:smooth val="1"/>
        </c:ser>
        <c:ser>
          <c:idx val="5"/>
          <c:order val="5"/>
          <c:tx>
            <c:v>c4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'Plan &amp; profile data'!$AA$22:$AA$42</c:f>
              <c:numCache>
                <c:formatCode>0.00</c:formatCode>
                <c:ptCount val="21"/>
                <c:pt idx="0">
                  <c:v>4.8505177112602249</c:v>
                </c:pt>
                <c:pt idx="1">
                  <c:v>42.1</c:v>
                </c:pt>
                <c:pt idx="2">
                  <c:v>64.2</c:v>
                </c:pt>
                <c:pt idx="3">
                  <c:v>86.300000000000011</c:v>
                </c:pt>
                <c:pt idx="4">
                  <c:v>108.4</c:v>
                </c:pt>
                <c:pt idx="5">
                  <c:v>130.5</c:v>
                </c:pt>
                <c:pt idx="6">
                  <c:v>152.6</c:v>
                </c:pt>
                <c:pt idx="7">
                  <c:v>174.7</c:v>
                </c:pt>
                <c:pt idx="8">
                  <c:v>196.79999999999998</c:v>
                </c:pt>
                <c:pt idx="9">
                  <c:v>218.89999999999998</c:v>
                </c:pt>
                <c:pt idx="10">
                  <c:v>240.99999999999997</c:v>
                </c:pt>
                <c:pt idx="11">
                  <c:v>263.09999999999997</c:v>
                </c:pt>
                <c:pt idx="12">
                  <c:v>285.2</c:v>
                </c:pt>
                <c:pt idx="13">
                  <c:v>307.3</c:v>
                </c:pt>
                <c:pt idx="14">
                  <c:v>329.40000000000003</c:v>
                </c:pt>
                <c:pt idx="15">
                  <c:v>351.50000000000006</c:v>
                </c:pt>
                <c:pt idx="16">
                  <c:v>373.60000000000008</c:v>
                </c:pt>
                <c:pt idx="17">
                  <c:v>395.7000000000001</c:v>
                </c:pt>
                <c:pt idx="18">
                  <c:v>417.80000000000013</c:v>
                </c:pt>
              </c:numCache>
            </c:numRef>
          </c:xVal>
          <c:yVal>
            <c:numRef>
              <c:f>'Plan &amp; profile data'!$AC$22:$AC$42</c:f>
              <c:numCache>
                <c:formatCode>0.00</c:formatCode>
                <c:ptCount val="21"/>
                <c:pt idx="0">
                  <c:v>0</c:v>
                </c:pt>
                <c:pt idx="1">
                  <c:v>14.072877478949863</c:v>
                </c:pt>
                <c:pt idx="2">
                  <c:v>21.121671636705628</c:v>
                </c:pt>
                <c:pt idx="3">
                  <c:v>27.246134880835939</c:v>
                </c:pt>
                <c:pt idx="4">
                  <c:v>32.475204234343892</c:v>
                </c:pt>
                <c:pt idx="5">
                  <c:v>36.832636197002671</c:v>
                </c:pt>
                <c:pt idx="6">
                  <c:v>40.337588401195831</c:v>
                </c:pt>
                <c:pt idx="7">
                  <c:v>43.005064486180231</c:v>
                </c:pt>
                <c:pt idx="8">
                  <c:v>44.846247640935189</c:v>
                </c:pt>
                <c:pt idx="9">
                  <c:v>45.868740814282773</c:v>
                </c:pt>
                <c:pt idx="10">
                  <c:v>46.076725960214162</c:v>
                </c:pt>
                <c:pt idx="11">
                  <c:v>45.471050236089354</c:v>
                </c:pt>
                <c:pt idx="12">
                  <c:v>44.049243344107936</c:v>
                </c:pt>
                <c:pt idx="13">
                  <c:v>41.805466850903258</c:v>
                </c:pt>
                <c:pt idx="14">
                  <c:v>38.730393037693943</c:v>
                </c:pt>
                <c:pt idx="15">
                  <c:v>34.811007335739191</c:v>
                </c:pt>
                <c:pt idx="16">
                  <c:v>30.03032437030356</c:v>
                </c:pt>
                <c:pt idx="17">
                  <c:v>24.367002675558751</c:v>
                </c:pt>
                <c:pt idx="18">
                  <c:v>17.794836717653766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63472"/>
        <c:axId val="355956024"/>
      </c:scatterChart>
      <c:valAx>
        <c:axId val="35596347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56024"/>
        <c:crosses val="autoZero"/>
        <c:crossBetween val="midCat"/>
      </c:valAx>
      <c:valAx>
        <c:axId val="35595602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96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277187977764302E-2"/>
          <c:y val="1.5156817429917938E-2"/>
          <c:w val="0.90744576659302878"/>
          <c:h val="0.9290170891467156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data'!$D$51:$D$67</c:f>
              <c:numCache>
                <c:formatCode>0.0</c:formatCode>
                <c:ptCount val="17"/>
                <c:pt idx="0">
                  <c:v>3.8258212531440599</c:v>
                </c:pt>
                <c:pt idx="1">
                  <c:v>7.238739145198398</c:v>
                </c:pt>
                <c:pt idx="2">
                  <c:v>10.242215780459848</c:v>
                </c:pt>
                <c:pt idx="3">
                  <c:v>12.839265962324081</c:v>
                </c:pt>
                <c:pt idx="4">
                  <c:v>15.032472710356561</c:v>
                </c:pt>
                <c:pt idx="5">
                  <c:v>16.824000355656782</c:v>
                </c:pt>
                <c:pt idx="6">
                  <c:v>18.215605372452902</c:v>
                </c:pt>
                <c:pt idx="7">
                  <c:v>19.20864507426899</c:v>
                </c:pt>
                <c:pt idx="8">
                  <c:v>19.804084276180394</c:v>
                </c:pt>
                <c:pt idx="9">
                  <c:v>20.002500000000001</c:v>
                </c:pt>
                <c:pt idx="10">
                  <c:v>19.804084276180394</c:v>
                </c:pt>
                <c:pt idx="11">
                  <c:v>19.20864507426899</c:v>
                </c:pt>
                <c:pt idx="12">
                  <c:v>18.215605372452902</c:v>
                </c:pt>
                <c:pt idx="13">
                  <c:v>16.824000355656782</c:v>
                </c:pt>
                <c:pt idx="14">
                  <c:v>15.032472710356561</c:v>
                </c:pt>
                <c:pt idx="15">
                  <c:v>12.839265962324081</c:v>
                </c:pt>
                <c:pt idx="16">
                  <c:v>10.242215780459848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data'!$F$51:$F$67</c:f>
              <c:numCache>
                <c:formatCode>0.0</c:formatCode>
                <c:ptCount val="17"/>
                <c:pt idx="0">
                  <c:v>7.2012205507387641</c:v>
                </c:pt>
                <c:pt idx="1">
                  <c:v>12.301242312968395</c:v>
                </c:pt>
                <c:pt idx="2">
                  <c:v>16.773679325937575</c:v>
                </c:pt>
                <c:pt idx="3">
                  <c:v>20.628760342078419</c:v>
                </c:pt>
                <c:pt idx="4">
                  <c:v>23.875124402547169</c:v>
                </c:pt>
                <c:pt idx="5">
                  <c:v>26.519921753843175</c:v>
                </c:pt>
                <c:pt idx="6">
                  <c:v>28.568895045042733</c:v>
                </c:pt>
                <c:pt idx="7">
                  <c:v>30.026443024744832</c:v>
                </c:pt>
                <c:pt idx="8">
                  <c:v>30.895668423667427</c:v>
                </c:pt>
                <c:pt idx="9">
                  <c:v>31.178411257876984</c:v>
                </c:pt>
                <c:pt idx="10">
                  <c:v>30.875268394977763</c:v>
                </c:pt>
                <c:pt idx="11">
                  <c:v>29.985599871710757</c:v>
                </c:pt>
                <c:pt idx="12">
                  <c:v>28.507522119649263</c:v>
                </c:pt>
                <c:pt idx="13">
                  <c:v>26.437887930957924</c:v>
                </c:pt>
                <c:pt idx="14">
                  <c:v>23.772252663907249</c:v>
                </c:pt>
                <c:pt idx="15">
                  <c:v>20.50482583290319</c:v>
                </c:pt>
                <c:pt idx="16">
                  <c:v>16.628406833453266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data'!$H$51:$H$67</c:f>
              <c:numCache>
                <c:formatCode>0.0</c:formatCode>
                <c:ptCount val="17"/>
                <c:pt idx="0">
                  <c:v>9.8601132261283055</c:v>
                </c:pt>
                <c:pt idx="1">
                  <c:v>15.964024440507956</c:v>
                </c:pt>
                <c:pt idx="2">
                  <c:v>21.295673711092718</c:v>
                </c:pt>
                <c:pt idx="3">
                  <c:v>25.873097051111699</c:v>
                </c:pt>
                <c:pt idx="4">
                  <c:v>29.711333108496888</c:v>
                </c:pt>
                <c:pt idx="5">
                  <c:v>32.822684967069449</c:v>
                </c:pt>
                <c:pt idx="6">
                  <c:v>35.21692592110378</c:v>
                </c:pt>
                <c:pt idx="7">
                  <c:v>36.90145760299913</c:v>
                </c:pt>
                <c:pt idx="8">
                  <c:v>37.881426621420928</c:v>
                </c:pt>
                <c:pt idx="9">
                  <c:v>38.159804090456419</c:v>
                </c:pt>
                <c:pt idx="10">
                  <c:v>37.7374309565148</c:v>
                </c:pt>
                <c:pt idx="11">
                  <c:v>36.613030750147573</c:v>
                </c:pt>
                <c:pt idx="12">
                  <c:v>34.783190216670732</c:v>
                </c:pt>
                <c:pt idx="13">
                  <c:v>32.242307135490364</c:v>
                </c:pt>
                <c:pt idx="14">
                  <c:v>28.982503449425508</c:v>
                </c:pt>
                <c:pt idx="15">
                  <c:v>24.993500513564527</c:v>
                </c:pt>
                <c:pt idx="16">
                  <c:v>20.262451746893362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data'!$J$51:$J$67</c:f>
              <c:numCache>
                <c:formatCode>0.0</c:formatCode>
                <c:ptCount val="17"/>
                <c:pt idx="0">
                  <c:v>12.193638984772363</c:v>
                </c:pt>
                <c:pt idx="1">
                  <c:v>18.962843666118331</c:v>
                </c:pt>
                <c:pt idx="2">
                  <c:v>24.857233863231002</c:v>
                </c:pt>
                <c:pt idx="3">
                  <c:v>29.901951972851251</c:v>
                </c:pt>
                <c:pt idx="4">
                  <c:v>34.1177553949138</c:v>
                </c:pt>
                <c:pt idx="5">
                  <c:v>37.521474507677411</c:v>
                </c:pt>
                <c:pt idx="6">
                  <c:v>40.126366300239354</c:v>
                </c:pt>
                <c:pt idx="7">
                  <c:v>41.94238190418146</c:v>
                </c:pt>
                <c:pt idx="8">
                  <c:v>42.976361097219481</c:v>
                </c:pt>
                <c:pt idx="9">
                  <c:v>43.232162877278554</c:v>
                </c:pt>
                <c:pt idx="10">
                  <c:v>42.710738018448481</c:v>
                </c:pt>
                <c:pt idx="11">
                  <c:v>41.410146824222764</c:v>
                </c:pt>
                <c:pt idx="12">
                  <c:v>39.325522857150375</c:v>
                </c:pt>
                <c:pt idx="13">
                  <c:v>36.448981049915304</c:v>
                </c:pt>
                <c:pt idx="14">
                  <c:v>32.76946610116552</c:v>
                </c:pt>
                <c:pt idx="15">
                  <c:v>28.27253422415852</c:v>
                </c:pt>
                <c:pt idx="16">
                  <c:v>22.940057898071316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data'!$L$51:$L$67</c:f>
              <c:numCache>
                <c:formatCode>0.0</c:formatCode>
                <c:ptCount val="17"/>
                <c:pt idx="0">
                  <c:v>14.072877478949863</c:v>
                </c:pt>
                <c:pt idx="1">
                  <c:v>21.121671636705628</c:v>
                </c:pt>
                <c:pt idx="2">
                  <c:v>27.246134880835939</c:v>
                </c:pt>
                <c:pt idx="3">
                  <c:v>32.475204234343892</c:v>
                </c:pt>
                <c:pt idx="4">
                  <c:v>36.832636197002671</c:v>
                </c:pt>
                <c:pt idx="5">
                  <c:v>40.337588401195831</c:v>
                </c:pt>
                <c:pt idx="6">
                  <c:v>43.005064486180231</c:v>
                </c:pt>
                <c:pt idx="7">
                  <c:v>44.846247640935189</c:v>
                </c:pt>
                <c:pt idx="8">
                  <c:v>45.868740814282773</c:v>
                </c:pt>
                <c:pt idx="9">
                  <c:v>46.076725960214162</c:v>
                </c:pt>
                <c:pt idx="10">
                  <c:v>45.471050236089354</c:v>
                </c:pt>
                <c:pt idx="11">
                  <c:v>44.049243344107936</c:v>
                </c:pt>
                <c:pt idx="12">
                  <c:v>41.805466850903258</c:v>
                </c:pt>
                <c:pt idx="13">
                  <c:v>38.730393037693943</c:v>
                </c:pt>
                <c:pt idx="14">
                  <c:v>34.811007335739191</c:v>
                </c:pt>
                <c:pt idx="15">
                  <c:v>30.03032437030356</c:v>
                </c:pt>
                <c:pt idx="16">
                  <c:v>24.367002675558751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data'!$N$51:$N$67</c:f>
              <c:numCache>
                <c:formatCode>0.0</c:formatCode>
                <c:ptCount val="17"/>
                <c:pt idx="0">
                  <c:v>16.04147409972051</c:v>
                </c:pt>
                <c:pt idx="1">
                  <c:v>23.024958912442791</c:v>
                </c:pt>
                <c:pt idx="2">
                  <c:v>29.067692818134439</c:v>
                </c:pt>
                <c:pt idx="3">
                  <c:v>34.199301290857413</c:v>
                </c:pt>
                <c:pt idx="4">
                  <c:v>38.443972125185375</c:v>
                </c:pt>
                <c:pt idx="5">
                  <c:v>41.821068564340855</c:v>
                </c:pt>
                <c:pt idx="6">
                  <c:v>44.345594846429314</c:v>
                </c:pt>
                <c:pt idx="7">
                  <c:v>46.028541698540714</c:v>
                </c:pt>
                <c:pt idx="8">
                  <c:v>46.877131057298463</c:v>
                </c:pt>
                <c:pt idx="9">
                  <c:v>46.894973057424629</c:v>
                </c:pt>
                <c:pt idx="10">
                  <c:v>46.08214337963863</c:v>
                </c:pt>
                <c:pt idx="11">
                  <c:v>44.435184864106866</c:v>
                </c:pt>
                <c:pt idx="12">
                  <c:v>41.947033470355102</c:v>
                </c:pt>
                <c:pt idx="13">
                  <c:v>38.606864846637784</c:v>
                </c:pt>
                <c:pt idx="14">
                  <c:v>34.399853609884524</c:v>
                </c:pt>
                <c:pt idx="15">
                  <c:v>29.306832529621822</c:v>
                </c:pt>
                <c:pt idx="16">
                  <c:v>23.303832640663352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04048"/>
        <c:axId val="402002480"/>
      </c:scatterChart>
      <c:valAx>
        <c:axId val="402004048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02480"/>
        <c:crosses val="autoZero"/>
        <c:crossBetween val="midCat"/>
      </c:valAx>
      <c:valAx>
        <c:axId val="402002480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0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data'!$E$51:$E$67</c:f>
              <c:numCache>
                <c:formatCode>0.0</c:formatCode>
                <c:ptCount val="17"/>
                <c:pt idx="0">
                  <c:v>41.493775059817963</c:v>
                </c:pt>
                <c:pt idx="1">
                  <c:v>42.259235383765954</c:v>
                </c:pt>
                <c:pt idx="2">
                  <c:v>42.93455185178631</c:v>
                </c:pt>
                <c:pt idx="3">
                  <c:v>43.519758126844536</c:v>
                </c:pt>
                <c:pt idx="4">
                  <c:v>44.014883366567702</c:v>
                </c:pt>
                <c:pt idx="5">
                  <c:v>44.419952230512209</c:v>
                </c:pt>
                <c:pt idx="6">
                  <c:v>44.734984886312887</c:v>
                </c:pt>
                <c:pt idx="7">
                  <c:v>44.959997014704314</c:v>
                </c:pt>
                <c:pt idx="8">
                  <c:v>45.094999813423456</c:v>
                </c:pt>
                <c:pt idx="9">
                  <c:v>45.14</c:v>
                </c:pt>
                <c:pt idx="10">
                  <c:v>45.094999813423456</c:v>
                </c:pt>
                <c:pt idx="11">
                  <c:v>44.959997014704314</c:v>
                </c:pt>
                <c:pt idx="12">
                  <c:v>44.734984886312887</c:v>
                </c:pt>
                <c:pt idx="13">
                  <c:v>44.419952230512209</c:v>
                </c:pt>
                <c:pt idx="14">
                  <c:v>44.014883366567702</c:v>
                </c:pt>
                <c:pt idx="15">
                  <c:v>43.519758126844536</c:v>
                </c:pt>
                <c:pt idx="16">
                  <c:v>42.93455185178631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data'!$G$51:$G$67</c:f>
              <c:numCache>
                <c:formatCode>0.0</c:formatCode>
                <c:ptCount val="17"/>
                <c:pt idx="0">
                  <c:v>32.236102396964974</c:v>
                </c:pt>
                <c:pt idx="1">
                  <c:v>33.864598990330954</c:v>
                </c:pt>
                <c:pt idx="2">
                  <c:v>35.300250031705467</c:v>
                </c:pt>
                <c:pt idx="3">
                  <c:v>36.543381551089873</c:v>
                </c:pt>
                <c:pt idx="4">
                  <c:v>37.594275264659949</c:v>
                </c:pt>
                <c:pt idx="5">
                  <c:v>38.453168895406883</c:v>
                </c:pt>
                <c:pt idx="6">
                  <c:v>39.120256442899766</c:v>
                </c:pt>
                <c:pt idx="7">
                  <c:v>39.595688402880818</c:v>
                </c:pt>
                <c:pt idx="8">
                  <c:v>39.879571937278591</c:v>
                </c:pt>
                <c:pt idx="9">
                  <c:v>39.971970995088007</c:v>
                </c:pt>
                <c:pt idx="10">
                  <c:v>39.872906384431893</c:v>
                </c:pt>
                <c:pt idx="11">
                  <c:v>39.582355795998659</c:v>
                </c:pt>
                <c:pt idx="12">
                  <c:v>39.100253777913871</c:v>
                </c:pt>
                <c:pt idx="13">
                  <c:v>38.426491661982503</c:v>
                </c:pt>
                <c:pt idx="14">
                  <c:v>37.560917441105424</c:v>
                </c:pt>
                <c:pt idx="15">
                  <c:v>36.503335597547697</c:v>
                </c:pt>
                <c:pt idx="16">
                  <c:v>35.253506881606221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data'!$I$51:$I$67</c:f>
              <c:numCache>
                <c:formatCode>0.0</c:formatCode>
                <c:ptCount val="17"/>
                <c:pt idx="0">
                  <c:v>25.628300578540674</c:v>
                </c:pt>
                <c:pt idx="1">
                  <c:v>27.377113803220581</c:v>
                </c:pt>
                <c:pt idx="2">
                  <c:v>28.916588286271562</c:v>
                </c:pt>
                <c:pt idx="3">
                  <c:v>30.247135623311678</c:v>
                </c:pt>
                <c:pt idx="4">
                  <c:v>31.369110682017762</c:v>
                </c:pt>
                <c:pt idx="5">
                  <c:v>32.282812077792059</c:v>
                </c:pt>
                <c:pt idx="6">
                  <c:v>32.988482572639313</c:v>
                </c:pt>
                <c:pt idx="7">
                  <c:v>33.486309398504872</c:v>
                </c:pt>
                <c:pt idx="8">
                  <c:v>33.776424506081057</c:v>
                </c:pt>
                <c:pt idx="9">
                  <c:v>33.858904739848967</c:v>
                </c:pt>
                <c:pt idx="10">
                  <c:v>33.733771939908692</c:v>
                </c:pt>
                <c:pt idx="11">
                  <c:v>33.400992970903516</c:v>
                </c:pt>
                <c:pt idx="12">
                  <c:v>32.860479678132705</c:v>
                </c:pt>
                <c:pt idx="13">
                  <c:v>32.112088770714635</c:v>
                </c:pt>
                <c:pt idx="14">
                  <c:v>31.155621631441463</c:v>
                </c:pt>
                <c:pt idx="15">
                  <c:v>29.990824052733714</c:v>
                </c:pt>
                <c:pt idx="16">
                  <c:v>28.617385897871699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data'!$K$51:$K$67</c:f>
              <c:numCache>
                <c:formatCode>0.0</c:formatCode>
                <c:ptCount val="17"/>
                <c:pt idx="0">
                  <c:v>19.383392312485068</c:v>
                </c:pt>
                <c:pt idx="1">
                  <c:v>21.015111062727794</c:v>
                </c:pt>
                <c:pt idx="2">
                  <c:v>22.450043119014264</c:v>
                </c:pt>
                <c:pt idx="3">
                  <c:v>23.688527794026651</c:v>
                </c:pt>
                <c:pt idx="4">
                  <c:v>24.730857320337474</c:v>
                </c:pt>
                <c:pt idx="5">
                  <c:v>25.577277196725628</c:v>
                </c:pt>
                <c:pt idx="6">
                  <c:v>26.227986478226523</c:v>
                </c:pt>
                <c:pt idx="7">
                  <c:v>26.683138010718505</c:v>
                </c:pt>
                <c:pt idx="8">
                  <c:v>26.942838610693581</c:v>
                </c:pt>
                <c:pt idx="9">
                  <c:v>27.007149190702659</c:v>
                </c:pt>
                <c:pt idx="10">
                  <c:v>26.876084830827278</c:v>
                </c:pt>
                <c:pt idx="11">
                  <c:v>26.549614796362004</c:v>
                </c:pt>
                <c:pt idx="12">
                  <c:v>26.027662501768429</c:v>
                </c:pt>
                <c:pt idx="13">
                  <c:v>25.31010542079208</c:v>
                </c:pt>
                <c:pt idx="14">
                  <c:v>24.39677494250169</c:v>
                </c:pt>
                <c:pt idx="15">
                  <c:v>23.287456172853364</c:v>
                </c:pt>
                <c:pt idx="16">
                  <c:v>21.981887681235332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data'!$M$51:$M$67</c:f>
              <c:numCache>
                <c:formatCode>0.0</c:formatCode>
                <c:ptCount val="17"/>
                <c:pt idx="0">
                  <c:v>12.864656249270917</c:v>
                </c:pt>
                <c:pt idx="1">
                  <c:v>14.382789812773405</c:v>
                </c:pt>
                <c:pt idx="2">
                  <c:v>15.716317897388814</c:v>
                </c:pt>
                <c:pt idx="3">
                  <c:v>16.865518225498413</c:v>
                </c:pt>
                <c:pt idx="4">
                  <c:v>17.830629684375758</c:v>
                </c:pt>
                <c:pt idx="5">
                  <c:v>18.611852575434163</c:v>
                </c:pt>
                <c:pt idx="6">
                  <c:v>19.209348822662427</c:v>
                </c:pt>
                <c:pt idx="7">
                  <c:v>19.623242140757206</c:v>
                </c:pt>
                <c:pt idx="8">
                  <c:v>19.853618163357673</c:v>
                </c:pt>
                <c:pt idx="9">
                  <c:v>19.900524531698515</c:v>
                </c:pt>
                <c:pt idx="10">
                  <c:v>19.763970943888175</c:v>
                </c:pt>
                <c:pt idx="11">
                  <c:v>19.443929164938758</c:v>
                </c:pt>
                <c:pt idx="12">
                  <c:v>18.940332997565342</c:v>
                </c:pt>
                <c:pt idx="13">
                  <c:v>18.253078213688291</c:v>
                </c:pt>
                <c:pt idx="14">
                  <c:v>17.382022446473506</c:v>
                </c:pt>
                <c:pt idx="15">
                  <c:v>16.326985042645497</c:v>
                </c:pt>
                <c:pt idx="16">
                  <c:v>15.087746874718102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'Plan &amp; profile data'!$C$51:$C$67</c:f>
              <c:numCache>
                <c:formatCode>0.0</c:formatCode>
                <c:ptCount val="17"/>
                <c:pt idx="0">
                  <c:v>42.1</c:v>
                </c:pt>
                <c:pt idx="1">
                  <c:v>64.2</c:v>
                </c:pt>
                <c:pt idx="2">
                  <c:v>86.300000000000011</c:v>
                </c:pt>
                <c:pt idx="3">
                  <c:v>109.65</c:v>
                </c:pt>
                <c:pt idx="4">
                  <c:v>134.25</c:v>
                </c:pt>
                <c:pt idx="5">
                  <c:v>159.85</c:v>
                </c:pt>
                <c:pt idx="6">
                  <c:v>186.95</c:v>
                </c:pt>
                <c:pt idx="7">
                  <c:v>214.04999999999998</c:v>
                </c:pt>
                <c:pt idx="8">
                  <c:v>243.89999999999998</c:v>
                </c:pt>
                <c:pt idx="9">
                  <c:v>280</c:v>
                </c:pt>
                <c:pt idx="10">
                  <c:v>323.09999999999997</c:v>
                </c:pt>
                <c:pt idx="11">
                  <c:v>365.2</c:v>
                </c:pt>
                <c:pt idx="12">
                  <c:v>407.3</c:v>
                </c:pt>
                <c:pt idx="13">
                  <c:v>449.40000000000003</c:v>
                </c:pt>
                <c:pt idx="14">
                  <c:v>491.50000000000006</c:v>
                </c:pt>
                <c:pt idx="15">
                  <c:v>533.60000000000014</c:v>
                </c:pt>
                <c:pt idx="16">
                  <c:v>575.70000000000005</c:v>
                </c:pt>
              </c:numCache>
            </c:numRef>
          </c:xVal>
          <c:yVal>
            <c:numRef>
              <c:f>'Plan &amp; profile data'!$O$51:$O$67</c:f>
              <c:numCache>
                <c:formatCode>0.0</c:formatCode>
                <c:ptCount val="17"/>
                <c:pt idx="0">
                  <c:v>2.8170874547959102</c:v>
                </c:pt>
                <c:pt idx="1">
                  <c:v>4.0735019201079012</c:v>
                </c:pt>
                <c:pt idx="2">
                  <c:v>5.1728701096558325</c:v>
                </c:pt>
                <c:pt idx="3">
                  <c:v>6.115357987295738</c:v>
                </c:pt>
                <c:pt idx="4">
                  <c:v>6.9011076476353992</c:v>
                </c:pt>
                <c:pt idx="5">
                  <c:v>7.5302374234256604</c:v>
                </c:pt>
                <c:pt idx="6">
                  <c:v>8.0028419748341548</c:v>
                </c:pt>
                <c:pt idx="7">
                  <c:v>8.3189923607465062</c:v>
                </c:pt>
                <c:pt idx="8">
                  <c:v>8.478736092230065</c:v>
                </c:pt>
                <c:pt idx="9">
                  <c:v>8.4820971682506752</c:v>
                </c:pt>
                <c:pt idx="10">
                  <c:v>8.329076093704316</c:v>
                </c:pt>
                <c:pt idx="11">
                  <c:v>8.0196498797963613</c:v>
                </c:pt>
                <c:pt idx="12">
                  <c:v>7.5537720267675468</c:v>
                </c:pt>
                <c:pt idx="13">
                  <c:v>6.9313724889411787</c:v>
                </c:pt>
                <c:pt idx="14">
                  <c:v>6.1523576220238283</c:v>
                </c:pt>
                <c:pt idx="15">
                  <c:v>5.2166101125708337</c:v>
                </c:pt>
                <c:pt idx="16">
                  <c:v>4.1239888894911019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06400"/>
        <c:axId val="402003264"/>
      </c:scatterChart>
      <c:valAx>
        <c:axId val="40200640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03264"/>
        <c:crosses val="autoZero"/>
        <c:crossBetween val="midCat"/>
      </c:valAx>
      <c:valAx>
        <c:axId val="40200326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0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pageSetup orientation="landscape" horizontalDpi="4294967293" verticalDpi="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9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17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17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tabSelected="1" zoomScale="60" zoomScaleNormal="60" workbookViewId="0">
      <selection activeCell="G45" sqref="G45"/>
    </sheetView>
  </sheetViews>
  <sheetFormatPr defaultColWidth="11" defaultRowHeight="12.6" x14ac:dyDescent="0.2"/>
  <cols>
    <col min="1" max="45" width="11" customWidth="1"/>
    <col min="46" max="46" width="6.6328125" bestFit="1" customWidth="1"/>
    <col min="47" max="47" width="5.6328125" bestFit="1" customWidth="1"/>
    <col min="48" max="48" width="8" bestFit="1" customWidth="1"/>
    <col min="49" max="49" width="4" bestFit="1" customWidth="1"/>
    <col min="50" max="50" width="8" bestFit="1" customWidth="1"/>
  </cols>
  <sheetData>
    <row r="1" spans="1:36" ht="24.6" x14ac:dyDescent="0.4">
      <c r="A1" s="22" t="s">
        <v>44</v>
      </c>
      <c r="H1" s="26" t="s">
        <v>52</v>
      </c>
      <c r="N1" s="26" t="s">
        <v>53</v>
      </c>
      <c r="T1" s="26" t="s">
        <v>54</v>
      </c>
      <c r="Z1" s="26" t="s">
        <v>55</v>
      </c>
      <c r="AF1" s="26" t="s">
        <v>49</v>
      </c>
    </row>
    <row r="2" spans="1:36" x14ac:dyDescent="0.2">
      <c r="A2" t="s">
        <v>3</v>
      </c>
      <c r="B2">
        <v>20</v>
      </c>
      <c r="C2" t="s">
        <v>5</v>
      </c>
      <c r="H2" t="s">
        <v>3</v>
      </c>
      <c r="I2">
        <f>L22/(D$12/B$2)</f>
        <v>14.740316163313638</v>
      </c>
      <c r="J2" t="s">
        <v>5</v>
      </c>
      <c r="N2" t="s">
        <v>3</v>
      </c>
      <c r="O2">
        <f>R22/(K$12/I$2)</f>
        <v>11.229906990236945</v>
      </c>
      <c r="P2" t="s">
        <v>5</v>
      </c>
      <c r="T2" t="s">
        <v>3</v>
      </c>
      <c r="U2">
        <f>X22/(Q$12/O$2)</f>
        <v>8.0996102894074138</v>
      </c>
      <c r="V2" t="s">
        <v>5</v>
      </c>
      <c r="Z2" t="s">
        <v>3</v>
      </c>
      <c r="AA2">
        <f>AD22/(W$12/U$2)</f>
        <v>4.8505177112602249</v>
      </c>
      <c r="AB2" t="s">
        <v>5</v>
      </c>
      <c r="AF2" t="s">
        <v>3</v>
      </c>
      <c r="AG2">
        <v>0</v>
      </c>
      <c r="AH2" t="s">
        <v>5</v>
      </c>
    </row>
    <row r="3" spans="1:36" x14ac:dyDescent="0.2">
      <c r="A3" t="s">
        <v>4</v>
      </c>
      <c r="C3" t="s">
        <v>6</v>
      </c>
      <c r="H3" t="s">
        <v>4</v>
      </c>
      <c r="J3" t="s">
        <v>6</v>
      </c>
      <c r="N3" t="s">
        <v>4</v>
      </c>
      <c r="O3">
        <v>11</v>
      </c>
      <c r="P3" t="s">
        <v>6</v>
      </c>
      <c r="T3" t="s">
        <v>4</v>
      </c>
      <c r="U3">
        <v>9</v>
      </c>
      <c r="V3" t="s">
        <v>6</v>
      </c>
      <c r="Z3" t="s">
        <v>4</v>
      </c>
      <c r="AA3">
        <v>9</v>
      </c>
      <c r="AB3" t="s">
        <v>6</v>
      </c>
      <c r="AF3" t="s">
        <v>4</v>
      </c>
      <c r="AG3">
        <v>0</v>
      </c>
      <c r="AH3" t="s">
        <v>6</v>
      </c>
    </row>
    <row r="5" spans="1:36" x14ac:dyDescent="0.2">
      <c r="J5">
        <v>687</v>
      </c>
    </row>
    <row r="6" spans="1:36" x14ac:dyDescent="0.2">
      <c r="B6" s="12" t="s">
        <v>12</v>
      </c>
      <c r="C6" s="12" t="s">
        <v>14</v>
      </c>
      <c r="D6" s="13" t="s">
        <v>15</v>
      </c>
      <c r="I6" s="12" t="s">
        <v>12</v>
      </c>
      <c r="J6" s="12" t="s">
        <v>14</v>
      </c>
      <c r="K6" s="13" t="s">
        <v>15</v>
      </c>
      <c r="O6" s="12" t="s">
        <v>12</v>
      </c>
      <c r="P6" s="12" t="s">
        <v>14</v>
      </c>
      <c r="Q6" s="13" t="s">
        <v>15</v>
      </c>
      <c r="U6" s="12" t="s">
        <v>12</v>
      </c>
      <c r="V6" s="12" t="s">
        <v>14</v>
      </c>
      <c r="W6" s="13" t="s">
        <v>15</v>
      </c>
      <c r="AA6" s="12" t="s">
        <v>12</v>
      </c>
      <c r="AB6" s="12" t="s">
        <v>14</v>
      </c>
      <c r="AC6" s="13" t="s">
        <v>15</v>
      </c>
      <c r="AG6" s="12" t="s">
        <v>12</v>
      </c>
      <c r="AH6" s="12" t="s">
        <v>14</v>
      </c>
      <c r="AI6" s="13" t="s">
        <v>15</v>
      </c>
    </row>
    <row r="7" spans="1:36" x14ac:dyDescent="0.2">
      <c r="A7" s="7" t="s">
        <v>22</v>
      </c>
      <c r="B7" s="23">
        <f>C7/2.54/12</f>
        <v>22.309711286089239</v>
      </c>
      <c r="C7" s="9">
        <v>680</v>
      </c>
      <c r="D7" s="10">
        <f>C7/2</f>
        <v>340</v>
      </c>
      <c r="H7" s="7" t="s">
        <v>22</v>
      </c>
      <c r="I7" s="23">
        <f>J7/2.54/12</f>
        <v>22.801837270341206</v>
      </c>
      <c r="J7" s="9">
        <v>695</v>
      </c>
      <c r="K7" s="10">
        <f>J7/2</f>
        <v>347.5</v>
      </c>
      <c r="N7" s="7" t="s">
        <v>22</v>
      </c>
      <c r="O7" s="23">
        <f>P7/2.54/12</f>
        <v>22.965879265091861</v>
      </c>
      <c r="P7" s="9">
        <v>700</v>
      </c>
      <c r="Q7" s="10">
        <f>P7/2</f>
        <v>350</v>
      </c>
      <c r="T7" s="7" t="s">
        <v>22</v>
      </c>
      <c r="U7" s="23">
        <f>V7/2.54/12</f>
        <v>23.129921259842519</v>
      </c>
      <c r="V7" s="9">
        <v>705</v>
      </c>
      <c r="W7" s="10">
        <f>V7/2</f>
        <v>352.5</v>
      </c>
      <c r="Z7" s="7" t="s">
        <v>22</v>
      </c>
      <c r="AA7" s="23">
        <f>AB7/2.54/12</f>
        <v>23.293963254593177</v>
      </c>
      <c r="AB7" s="9">
        <v>710</v>
      </c>
      <c r="AC7" s="10">
        <f>AB7/2</f>
        <v>355</v>
      </c>
      <c r="AF7" s="7" t="s">
        <v>22</v>
      </c>
      <c r="AG7" s="23">
        <f>AH7/2.54/12</f>
        <v>23.261154855643042</v>
      </c>
      <c r="AH7" s="9">
        <v>709</v>
      </c>
      <c r="AI7" s="10">
        <f>AH7/2</f>
        <v>354.5</v>
      </c>
    </row>
    <row r="8" spans="1:36" ht="17.399999999999999" x14ac:dyDescent="0.3">
      <c r="A8" s="16" t="s">
        <v>23</v>
      </c>
      <c r="B8" s="23">
        <f>C8/2.54/12</f>
        <v>14.501312335958005</v>
      </c>
      <c r="C8" s="38">
        <f>680*0.65</f>
        <v>442</v>
      </c>
      <c r="D8" s="10">
        <f>C8/2</f>
        <v>221</v>
      </c>
      <c r="H8" s="16" t="s">
        <v>23</v>
      </c>
      <c r="I8" s="1"/>
      <c r="J8" s="28">
        <f>695*0.65</f>
        <v>451.75</v>
      </c>
      <c r="K8" s="10">
        <f>J8/2</f>
        <v>225.875</v>
      </c>
      <c r="N8" s="16" t="s">
        <v>23</v>
      </c>
      <c r="O8" s="1"/>
      <c r="P8" s="28">
        <f>700*0.65</f>
        <v>455</v>
      </c>
      <c r="Q8" s="10">
        <f>P8/2</f>
        <v>227.5</v>
      </c>
      <c r="T8" s="16" t="s">
        <v>23</v>
      </c>
      <c r="U8" s="1"/>
      <c r="V8" s="28">
        <f>705*0.65</f>
        <v>458.25</v>
      </c>
      <c r="W8" s="10">
        <f>V8/2</f>
        <v>229.125</v>
      </c>
      <c r="Z8" s="16" t="s">
        <v>23</v>
      </c>
      <c r="AA8" s="1"/>
      <c r="AB8" s="28">
        <f>710*0.65</f>
        <v>461.5</v>
      </c>
      <c r="AC8" s="10">
        <f>AB8/2</f>
        <v>230.75</v>
      </c>
      <c r="AF8" s="16" t="s">
        <v>23</v>
      </c>
      <c r="AG8" s="1"/>
      <c r="AH8" s="6">
        <f>709*0.65</f>
        <v>460.85</v>
      </c>
      <c r="AI8" s="10">
        <f>AH8/2</f>
        <v>230.42500000000001</v>
      </c>
    </row>
    <row r="9" spans="1:36" x14ac:dyDescent="0.2">
      <c r="B9" s="1"/>
      <c r="C9" s="1"/>
      <c r="D9" s="2"/>
      <c r="I9" s="1"/>
      <c r="J9" s="1"/>
      <c r="K9" s="2"/>
      <c r="O9" s="1"/>
      <c r="P9" s="1"/>
      <c r="Q9" s="2"/>
      <c r="U9" s="1"/>
      <c r="V9" s="1"/>
      <c r="W9" s="2"/>
      <c r="AA9" s="1"/>
      <c r="AB9" s="1"/>
      <c r="AC9" s="2"/>
      <c r="AG9" s="1"/>
      <c r="AH9" s="1"/>
      <c r="AI9" s="2"/>
    </row>
    <row r="10" spans="1:36" x14ac:dyDescent="0.2">
      <c r="B10" s="1" t="s">
        <v>13</v>
      </c>
      <c r="C10" s="1" t="s">
        <v>14</v>
      </c>
      <c r="D10" s="1" t="s">
        <v>21</v>
      </c>
      <c r="I10" s="1" t="s">
        <v>13</v>
      </c>
      <c r="J10" s="1" t="s">
        <v>14</v>
      </c>
      <c r="K10" s="1" t="s">
        <v>21</v>
      </c>
      <c r="O10" s="1" t="s">
        <v>13</v>
      </c>
      <c r="P10" s="1" t="s">
        <v>14</v>
      </c>
      <c r="Q10" s="1" t="s">
        <v>21</v>
      </c>
      <c r="U10" s="1" t="s">
        <v>13</v>
      </c>
      <c r="V10" s="1" t="s">
        <v>14</v>
      </c>
      <c r="W10" s="1" t="s">
        <v>21</v>
      </c>
      <c r="AA10" s="1" t="s">
        <v>13</v>
      </c>
      <c r="AB10" s="1" t="s">
        <v>14</v>
      </c>
      <c r="AC10" s="1" t="s">
        <v>21</v>
      </c>
      <c r="AG10" s="1" t="s">
        <v>13</v>
      </c>
      <c r="AH10" s="1" t="s">
        <v>14</v>
      </c>
      <c r="AI10" s="1" t="s">
        <v>21</v>
      </c>
    </row>
    <row r="11" spans="1:36" x14ac:dyDescent="0.2">
      <c r="A11" t="s">
        <v>11</v>
      </c>
      <c r="B11" s="1">
        <v>15.75</v>
      </c>
      <c r="C11" s="1">
        <f>B11*2.54</f>
        <v>40.005000000000003</v>
      </c>
      <c r="D11" s="4">
        <f>C11/2</f>
        <v>20.002500000000001</v>
      </c>
      <c r="H11" t="s">
        <v>11</v>
      </c>
      <c r="I11" s="1">
        <f>O11-5.5</f>
        <v>24.549999999999997</v>
      </c>
      <c r="J11" s="1">
        <f>I11*2.54</f>
        <v>62.356999999999992</v>
      </c>
      <c r="K11" s="4">
        <f>J11/2</f>
        <v>31.178499999999996</v>
      </c>
      <c r="N11" t="s">
        <v>11</v>
      </c>
      <c r="O11" s="1">
        <f>U11-4</f>
        <v>30.049999999999997</v>
      </c>
      <c r="P11" s="1">
        <f>O11*2.54</f>
        <v>76.326999999999998</v>
      </c>
      <c r="Q11" s="4">
        <f>P11/2</f>
        <v>38.163499999999999</v>
      </c>
      <c r="T11" t="s">
        <v>11</v>
      </c>
      <c r="U11" s="1">
        <f>AA11-2.25</f>
        <v>34.049999999999997</v>
      </c>
      <c r="V11" s="1">
        <f>U11*2.54</f>
        <v>86.486999999999995</v>
      </c>
      <c r="W11" s="4">
        <f>V11/2</f>
        <v>43.243499999999997</v>
      </c>
      <c r="Z11" t="s">
        <v>11</v>
      </c>
      <c r="AA11" s="1">
        <f>AG11-0.7</f>
        <v>36.299999999999997</v>
      </c>
      <c r="AB11" s="1">
        <f>AA11*2.54</f>
        <v>92.201999999999998</v>
      </c>
      <c r="AC11" s="4">
        <f>AB11/2</f>
        <v>46.100999999999999</v>
      </c>
      <c r="AF11" s="27" t="s">
        <v>50</v>
      </c>
      <c r="AG11" s="1">
        <v>37</v>
      </c>
      <c r="AH11" s="1">
        <f>AG11*2.54</f>
        <v>93.98</v>
      </c>
      <c r="AI11" s="4">
        <f>AH11/2</f>
        <v>46.99</v>
      </c>
    </row>
    <row r="12" spans="1:36" x14ac:dyDescent="0.2">
      <c r="A12" s="27" t="s">
        <v>51</v>
      </c>
      <c r="B12" s="1">
        <v>16</v>
      </c>
      <c r="C12" s="1"/>
      <c r="D12" s="1">
        <f>B12*2.54</f>
        <v>40.64</v>
      </c>
      <c r="H12" s="27" t="s">
        <v>51</v>
      </c>
      <c r="I12" s="1">
        <v>11.8</v>
      </c>
      <c r="J12" s="1"/>
      <c r="K12" s="1">
        <f>I12*2.54</f>
        <v>29.972000000000001</v>
      </c>
      <c r="N12" s="27" t="s">
        <v>51</v>
      </c>
      <c r="O12" s="1">
        <v>9</v>
      </c>
      <c r="P12" s="1"/>
      <c r="Q12" s="1">
        <f>O12*2.54</f>
        <v>22.86</v>
      </c>
      <c r="T12" s="27" t="s">
        <v>51</v>
      </c>
      <c r="U12" s="1">
        <v>6.5</v>
      </c>
      <c r="V12" s="1"/>
      <c r="W12" s="1">
        <f>U12*2.54</f>
        <v>16.510000000000002</v>
      </c>
      <c r="Z12" s="27" t="s">
        <v>51</v>
      </c>
      <c r="AA12" s="1">
        <v>3.9</v>
      </c>
      <c r="AB12" s="1"/>
      <c r="AC12" s="1">
        <f>AA12*2.54</f>
        <v>9.9060000000000006</v>
      </c>
      <c r="AF12" s="27" t="s">
        <v>51</v>
      </c>
      <c r="AG12" s="1"/>
      <c r="AH12" s="1"/>
      <c r="AI12" s="1">
        <v>0</v>
      </c>
    </row>
    <row r="13" spans="1:36" x14ac:dyDescent="0.2">
      <c r="A13" t="s">
        <v>17</v>
      </c>
      <c r="C13" s="4">
        <v>4.5</v>
      </c>
      <c r="D13" s="24">
        <v>0</v>
      </c>
      <c r="H13" t="s">
        <v>17</v>
      </c>
      <c r="J13" s="4">
        <v>10</v>
      </c>
      <c r="K13" s="24">
        <v>0</v>
      </c>
      <c r="N13" t="s">
        <v>17</v>
      </c>
      <c r="P13" s="4">
        <v>11</v>
      </c>
      <c r="Q13" s="24">
        <v>0</v>
      </c>
      <c r="T13" t="s">
        <v>17</v>
      </c>
      <c r="V13" s="4">
        <v>10.5</v>
      </c>
      <c r="W13" s="24">
        <v>0</v>
      </c>
      <c r="Z13" t="s">
        <v>17</v>
      </c>
      <c r="AB13" s="4">
        <v>10</v>
      </c>
      <c r="AC13" s="24">
        <v>0</v>
      </c>
      <c r="AF13" t="s">
        <v>17</v>
      </c>
      <c r="AH13" s="4">
        <v>8.5</v>
      </c>
      <c r="AI13" s="24">
        <v>0</v>
      </c>
    </row>
    <row r="14" spans="1:36" x14ac:dyDescent="0.2">
      <c r="A14" t="s">
        <v>18</v>
      </c>
      <c r="C14" s="6">
        <f>SQRT(C13^2+D11^2)</f>
        <v>20.502439031734738</v>
      </c>
      <c r="H14" t="s">
        <v>18</v>
      </c>
      <c r="J14" s="6">
        <f>SQRT(J13^2+K11^2)</f>
        <v>32.742920795952216</v>
      </c>
      <c r="N14" t="s">
        <v>18</v>
      </c>
      <c r="P14" s="6">
        <f>SQRT(P13^2+Q11^2)</f>
        <v>39.717159166410681</v>
      </c>
      <c r="T14" t="s">
        <v>18</v>
      </c>
      <c r="V14" s="6">
        <f>SQRT(V13^2+W11^2)</f>
        <v>44.500003283707741</v>
      </c>
      <c r="Z14" t="s">
        <v>18</v>
      </c>
      <c r="AB14" s="6">
        <f>SQRT(AB13^2+AC11^2)</f>
        <v>47.173108875714348</v>
      </c>
      <c r="AF14" t="s">
        <v>18</v>
      </c>
      <c r="AH14" s="6">
        <f>SQRT(AH13^2+AI11^2)</f>
        <v>47.752592599774097</v>
      </c>
    </row>
    <row r="16" spans="1:36" x14ac:dyDescent="0.2">
      <c r="C16" s="1" t="s">
        <v>20</v>
      </c>
      <c r="D16" s="1" t="s">
        <v>11</v>
      </c>
      <c r="E16" s="1" t="s">
        <v>43</v>
      </c>
      <c r="F16" s="1"/>
      <c r="G16" s="1"/>
      <c r="J16" s="1" t="s">
        <v>20</v>
      </c>
      <c r="K16" s="1" t="s">
        <v>11</v>
      </c>
      <c r="L16" s="1" t="s">
        <v>43</v>
      </c>
      <c r="P16" s="1" t="s">
        <v>20</v>
      </c>
      <c r="Q16" s="1" t="s">
        <v>11</v>
      </c>
      <c r="R16" s="1" t="s">
        <v>43</v>
      </c>
      <c r="V16" s="1" t="s">
        <v>20</v>
      </c>
      <c r="W16" s="1" t="s">
        <v>11</v>
      </c>
      <c r="X16" s="1" t="s">
        <v>43</v>
      </c>
      <c r="AB16" s="1" t="s">
        <v>20</v>
      </c>
      <c r="AC16" s="1" t="s">
        <v>11</v>
      </c>
      <c r="AD16" s="1" t="s">
        <v>43</v>
      </c>
      <c r="AE16" s="1"/>
      <c r="AH16" s="1" t="s">
        <v>20</v>
      </c>
      <c r="AI16" s="1" t="s">
        <v>11</v>
      </c>
      <c r="AJ16" s="1" t="s">
        <v>43</v>
      </c>
    </row>
    <row r="17" spans="1:36" x14ac:dyDescent="0.2">
      <c r="A17" t="s">
        <v>16</v>
      </c>
      <c r="C17" s="6">
        <f>(D8^2+C14^2)/2/C14</f>
        <v>1201.3534080018658</v>
      </c>
      <c r="D17" s="5">
        <f>(D8^2+D$11^2)/2/D$11</f>
        <v>1230.8736409511312</v>
      </c>
      <c r="E17" s="5">
        <f>(D8^2+D13^2)/2/C13</f>
        <v>5426.7777777777774</v>
      </c>
      <c r="F17" s="5"/>
      <c r="G17" s="5"/>
      <c r="H17" t="s">
        <v>16</v>
      </c>
      <c r="J17" s="6">
        <f>(K8^2+J14^2)/2/J14</f>
        <v>795.46377080828006</v>
      </c>
      <c r="K17" s="5">
        <f>(K8^2+K$11^2)/2/K$11</f>
        <v>833.7735055767597</v>
      </c>
      <c r="L17" s="5">
        <f>(K8^2+K13^2)/2/J13</f>
        <v>2550.9757812500002</v>
      </c>
      <c r="N17" t="s">
        <v>16</v>
      </c>
      <c r="P17" s="6">
        <f>(Q8^2+P14^2)/2/P14</f>
        <v>671.41890119567017</v>
      </c>
      <c r="Q17" s="5">
        <f>(Q8^2+Q$11^2)/2/Q$11</f>
        <v>697.16748637113994</v>
      </c>
      <c r="R17" s="5">
        <f>(Q8^2+Q13^2)/2/P13</f>
        <v>2352.556818181818</v>
      </c>
      <c r="T17" t="s">
        <v>16</v>
      </c>
      <c r="V17" s="6">
        <f>(W8^2+V14^2)/2/V14</f>
        <v>612.11811120467462</v>
      </c>
      <c r="W17" s="5">
        <f>(W8^2+W$11^2)/2/W$11</f>
        <v>628.62934218148393</v>
      </c>
      <c r="X17" s="5">
        <f>(W8^2+W13^2)/2/V13</f>
        <v>2499.9174107142858</v>
      </c>
      <c r="Z17" t="s">
        <v>16</v>
      </c>
      <c r="AB17" s="6">
        <f>(AC8^2+AB14^2)/2/AB14</f>
        <v>587.95006332047683</v>
      </c>
      <c r="AC17" s="5">
        <f>(AC8^2+AC$11^2)/2/AC$11</f>
        <v>600.53865101624694</v>
      </c>
      <c r="AD17" s="5">
        <f>(AC8^2+AC13^2)/2/AB13</f>
        <v>2662.2781249999998</v>
      </c>
      <c r="AE17" s="5"/>
      <c r="AF17" t="s">
        <v>16</v>
      </c>
      <c r="AH17" s="6">
        <f>(AI8^2+AH14^2)/2/AH14</f>
        <v>579.82182443076374</v>
      </c>
      <c r="AI17" s="5">
        <f>(AI8^2+AI$11^2)/2/AI$11</f>
        <v>588.46287215364976</v>
      </c>
      <c r="AJ17" s="5">
        <f>(AI8^2+AI13^2)/2/AH13</f>
        <v>3123.2753308823535</v>
      </c>
    </row>
    <row r="18" spans="1:36" x14ac:dyDescent="0.2">
      <c r="C18" s="5"/>
      <c r="D18" s="5"/>
      <c r="J18" s="5"/>
      <c r="K18" s="5"/>
      <c r="P18" s="5"/>
      <c r="Q18" s="5"/>
      <c r="V18" s="5"/>
      <c r="W18" s="5"/>
      <c r="AC18" s="5"/>
      <c r="AD18" s="5"/>
      <c r="AI18" s="5"/>
      <c r="AJ18" s="5"/>
    </row>
    <row r="21" spans="1:36" ht="25.2" x14ac:dyDescent="0.2">
      <c r="A21" s="43" t="s">
        <v>86</v>
      </c>
      <c r="B21" s="8" t="s">
        <v>19</v>
      </c>
      <c r="C21" s="8" t="s">
        <v>56</v>
      </c>
      <c r="D21" s="8" t="s">
        <v>9</v>
      </c>
      <c r="E21" s="8" t="s">
        <v>42</v>
      </c>
      <c r="F21" s="8" t="s">
        <v>10</v>
      </c>
      <c r="G21" s="8"/>
      <c r="H21" s="8" t="s">
        <v>19</v>
      </c>
      <c r="I21" s="8" t="s">
        <v>56</v>
      </c>
      <c r="J21" s="8" t="s">
        <v>9</v>
      </c>
      <c r="K21" s="8" t="s">
        <v>42</v>
      </c>
      <c r="L21" s="8" t="s">
        <v>10</v>
      </c>
      <c r="N21" s="8" t="s">
        <v>19</v>
      </c>
      <c r="O21" s="8" t="s">
        <v>56</v>
      </c>
      <c r="P21" s="8" t="s">
        <v>9</v>
      </c>
      <c r="Q21" s="8" t="s">
        <v>42</v>
      </c>
      <c r="R21" s="8" t="s">
        <v>10</v>
      </c>
      <c r="T21" s="8" t="s">
        <v>19</v>
      </c>
      <c r="U21" s="8" t="s">
        <v>56</v>
      </c>
      <c r="V21" s="8" t="s">
        <v>9</v>
      </c>
      <c r="W21" s="8" t="s">
        <v>42</v>
      </c>
      <c r="X21" s="8" t="s">
        <v>10</v>
      </c>
      <c r="Z21" s="8" t="s">
        <v>19</v>
      </c>
      <c r="AA21" s="8" t="s">
        <v>56</v>
      </c>
      <c r="AB21" s="8" t="s">
        <v>9</v>
      </c>
      <c r="AC21" s="8" t="s">
        <v>42</v>
      </c>
      <c r="AD21" s="8" t="s">
        <v>10</v>
      </c>
      <c r="AE21" s="8"/>
      <c r="AF21" s="8" t="s">
        <v>19</v>
      </c>
      <c r="AG21" s="8" t="s">
        <v>56</v>
      </c>
      <c r="AH21" s="8" t="s">
        <v>9</v>
      </c>
      <c r="AI21" s="8" t="s">
        <v>42</v>
      </c>
      <c r="AJ21" s="8" t="s">
        <v>10</v>
      </c>
    </row>
    <row r="22" spans="1:36" s="3" customFormat="1" x14ac:dyDescent="0.2">
      <c r="A22" s="3">
        <v>0</v>
      </c>
      <c r="B22" s="3">
        <f>C$8*A22</f>
        <v>0</v>
      </c>
      <c r="C22" s="3">
        <f>B22+B2</f>
        <v>20</v>
      </c>
      <c r="D22" s="3">
        <f t="shared" ref="D22:D40" si="0">C$14-(C$17-SQRT((C$17^2)-(D$8-B22)^2))</f>
        <v>-1.2789769243681803E-13</v>
      </c>
      <c r="E22" s="3">
        <f t="shared" ref="E22:E40" si="1">D$11-(D$17-SQRT((D$17^2)-(D$8-B22)^2))</f>
        <v>-5.3290705182007514E-14</v>
      </c>
      <c r="F22" s="3">
        <f t="shared" ref="F22:F40" si="2">C$13-(E$17-SQRT((E$17^2)-(D$8-B22)^2))+D$12</f>
        <v>40.638132703237389</v>
      </c>
      <c r="H22" s="3">
        <v>0</v>
      </c>
      <c r="I22" s="3">
        <f>H22+I2</f>
        <v>14.740316163313638</v>
      </c>
      <c r="J22" s="3">
        <f t="shared" ref="J22:J40" si="3">J$14-(J$17-SQRT((J$17^2)-(K$8-H22)^2))</f>
        <v>-5.6843418860808015E-14</v>
      </c>
      <c r="K22" s="3">
        <f t="shared" ref="K22:K40" si="4">K$11-(K$17-SQRT((K$17^2)-(K$8-H22)^2))</f>
        <v>0</v>
      </c>
      <c r="L22" s="3">
        <f t="shared" ref="L22:L40" si="5">J$13-(L$17-SQRT((L$17^2)-(K$8-H22)^2))+K$12</f>
        <v>29.952322443853312</v>
      </c>
      <c r="N22" s="3">
        <v>0</v>
      </c>
      <c r="O22" s="3">
        <f>N22+O2</f>
        <v>11.229906990236945</v>
      </c>
      <c r="P22" s="3">
        <f t="shared" ref="P22:P40" si="6">P$14-(P$17-SQRT((P$17^2)-(Q$8-N22)^2))</f>
        <v>-5.6843418860808015E-14</v>
      </c>
      <c r="Q22" s="3">
        <f t="shared" ref="Q22:Q40" si="7">Q$11-(Q$17-SQRT((Q$17^2)-(Q$8-N22)^2))</f>
        <v>0</v>
      </c>
      <c r="R22" s="3">
        <f t="shared" ref="R22:R40" si="8">P$13-(R$17-SQRT((R$17^2)-(Q$8-N22)^2))+Q$12</f>
        <v>22.834162346468801</v>
      </c>
      <c r="T22" s="3">
        <v>0</v>
      </c>
      <c r="U22" s="3">
        <f>T22+U2</f>
        <v>8.0996102894074138</v>
      </c>
      <c r="V22" s="3">
        <f t="shared" ref="V22:V40" si="9">V$14-(V$17-SQRT((V$17^2)-(W$8-T22)^2))</f>
        <v>0</v>
      </c>
      <c r="W22" s="3">
        <f t="shared" ref="W22:W40" si="10">W$11-(W$17-SQRT((W$17^2)-(W$8-T22)^2))</f>
        <v>0</v>
      </c>
      <c r="X22" s="3">
        <f t="shared" ref="X22:X40" si="11">V$13-(X$17-SQRT((X$17^2)-(W$8-T22)^2))+W$12</f>
        <v>16.487856166291078</v>
      </c>
      <c r="Z22" s="3">
        <v>0</v>
      </c>
      <c r="AA22" s="3">
        <f>Z22+AA2</f>
        <v>4.8505177112602249</v>
      </c>
      <c r="AB22" s="3">
        <f t="shared" ref="AB22:AB40" si="12">AB$14-(AB$17-SQRT((AB$17^2)-(AC$8-Z22)^2))</f>
        <v>0</v>
      </c>
      <c r="AC22" s="3">
        <f t="shared" ref="AC22:AC40" si="13">AC$11-(AC$17-SQRT((AC$17^2)-(AC$8-Z22)^2))</f>
        <v>0</v>
      </c>
      <c r="AD22" s="3">
        <f t="shared" ref="AD22:AD40" si="14">AB$13-(AD$17-SQRT((AD$17^2)-(AC$8-Z22)^2))+AC$12</f>
        <v>9.8871482147279099</v>
      </c>
      <c r="AF22" s="3">
        <v>0</v>
      </c>
      <c r="AG22" s="3">
        <f>AF22+AG2</f>
        <v>0</v>
      </c>
      <c r="AH22" s="3">
        <f t="shared" ref="AH22:AH40" si="15">AH$14-(AH$17-SQRT((AH$17^2)-(AI$8-AF22)^2))</f>
        <v>-7.815970093361102E-14</v>
      </c>
      <c r="AI22" s="3">
        <f t="shared" ref="AI22:AI40" si="16">AI$11-(AI$17-SQRT((AI$17^2)-(AI$8-AF22)^2))</f>
        <v>0</v>
      </c>
      <c r="AJ22" s="3">
        <f t="shared" ref="AJ22:AJ40" si="17">AH$13-(AJ$17-SQRT((AJ$17^2)-(AI$8-AF22)^2))+AI$12</f>
        <v>-1.1597968848036544E-2</v>
      </c>
    </row>
    <row r="23" spans="1:36" s="33" customFormat="1" x14ac:dyDescent="0.2">
      <c r="A23" s="3">
        <v>0.05</v>
      </c>
      <c r="B23" s="3">
        <f>C$8*A23</f>
        <v>22.1</v>
      </c>
      <c r="C23" s="3">
        <f>B23+B$2</f>
        <v>42.1</v>
      </c>
      <c r="D23" s="3">
        <f t="shared" si="0"/>
        <v>3.9227650895405617</v>
      </c>
      <c r="E23" s="3">
        <f t="shared" si="1"/>
        <v>3.8258212531440599</v>
      </c>
      <c r="F23" s="3">
        <f t="shared" si="2"/>
        <v>41.493775059817963</v>
      </c>
      <c r="G23" s="3"/>
      <c r="H23" s="3">
        <f t="shared" ref="H23:H40" si="18">B23+C$22-I$22</f>
        <v>27.359683836686365</v>
      </c>
      <c r="I23" s="3">
        <f t="shared" ref="I23:I40" si="19">H23+I$2</f>
        <v>42.1</v>
      </c>
      <c r="J23" s="3">
        <f t="shared" si="3"/>
        <v>7.5740804637253518</v>
      </c>
      <c r="K23" s="3">
        <f t="shared" si="4"/>
        <v>7.2012205507387641</v>
      </c>
      <c r="L23" s="3">
        <f t="shared" si="5"/>
        <v>32.236102396964974</v>
      </c>
      <c r="N23" s="3">
        <f t="shared" ref="N23:N40" si="20">H23+I$22-O$22</f>
        <v>30.870093009763057</v>
      </c>
      <c r="O23" s="3">
        <f t="shared" ref="O23:O40" si="21">N23+O$2</f>
        <v>42.1</v>
      </c>
      <c r="P23" s="3">
        <f t="shared" si="6"/>
        <v>10.279582122628824</v>
      </c>
      <c r="Q23" s="3">
        <f t="shared" si="7"/>
        <v>9.8601132261283055</v>
      </c>
      <c r="R23" s="3">
        <f t="shared" si="8"/>
        <v>25.628300578540674</v>
      </c>
      <c r="T23" s="3">
        <f t="shared" ref="T23:T40" si="22">N23+O$22-U$22</f>
        <v>34.000389710592586</v>
      </c>
      <c r="U23" s="3">
        <f t="shared" ref="U23:U40" si="23">T23+U$2</f>
        <v>42.1</v>
      </c>
      <c r="V23" s="3">
        <f t="shared" si="9"/>
        <v>12.567180176021424</v>
      </c>
      <c r="W23" s="3">
        <f t="shared" si="10"/>
        <v>12.193638984772363</v>
      </c>
      <c r="X23" s="3">
        <f t="shared" si="11"/>
        <v>19.383392312485068</v>
      </c>
      <c r="Z23" s="3">
        <f t="shared" ref="Z23:Z40" si="24">T23+U$22-AA$22</f>
        <v>37.249482288739777</v>
      </c>
      <c r="AA23" s="3">
        <f t="shared" ref="AA23:AA40" si="25">Z23+AA$2</f>
        <v>42.1</v>
      </c>
      <c r="AB23" s="3">
        <f t="shared" si="12"/>
        <v>14.419251057424873</v>
      </c>
      <c r="AC23" s="3">
        <f t="shared" si="13"/>
        <v>14.072877478949863</v>
      </c>
      <c r="AD23" s="3">
        <f t="shared" si="14"/>
        <v>12.864656249270917</v>
      </c>
      <c r="AE23" s="3"/>
      <c r="AF23" s="3">
        <f t="shared" ref="AF23:AF40" si="26">Z23+AA$22-AG$22</f>
        <v>42.1</v>
      </c>
      <c r="AG23" s="3">
        <f t="shared" ref="AG23:AG40" si="27">AF23+AG$2</f>
        <v>42.1</v>
      </c>
      <c r="AH23" s="3">
        <f t="shared" si="15"/>
        <v>16.316619975217499</v>
      </c>
      <c r="AI23" s="3">
        <f t="shared" si="16"/>
        <v>16.04147409972051</v>
      </c>
      <c r="AJ23" s="3">
        <f t="shared" si="17"/>
        <v>2.8170874547959102</v>
      </c>
    </row>
    <row r="24" spans="1:36" s="33" customFormat="1" x14ac:dyDescent="0.2">
      <c r="A24" s="3">
        <f>A23+0.05</f>
        <v>0.1</v>
      </c>
      <c r="B24" s="3">
        <f t="shared" ref="B24:B40" si="28">C$8*A24</f>
        <v>44.2</v>
      </c>
      <c r="C24" s="3">
        <f t="shared" ref="C24:C40" si="29">B24+B$2</f>
        <v>64.2</v>
      </c>
      <c r="D24" s="3">
        <f t="shared" si="0"/>
        <v>7.4216306120091389</v>
      </c>
      <c r="E24" s="3">
        <f t="shared" si="1"/>
        <v>7.238739145198398</v>
      </c>
      <c r="F24" s="3">
        <f t="shared" si="2"/>
        <v>42.259235383765954</v>
      </c>
      <c r="G24" s="3"/>
      <c r="H24" s="3">
        <f t="shared" si="18"/>
        <v>49.459683836686366</v>
      </c>
      <c r="I24" s="3">
        <f t="shared" si="19"/>
        <v>64.2</v>
      </c>
      <c r="J24" s="3">
        <f t="shared" si="3"/>
        <v>12.933871427260954</v>
      </c>
      <c r="K24" s="3">
        <f t="shared" si="4"/>
        <v>12.301242312968395</v>
      </c>
      <c r="L24" s="3">
        <f t="shared" si="5"/>
        <v>33.864598990330954</v>
      </c>
      <c r="N24" s="3">
        <f t="shared" si="20"/>
        <v>52.970093009763062</v>
      </c>
      <c r="O24" s="3">
        <f t="shared" si="21"/>
        <v>64.2</v>
      </c>
      <c r="P24" s="3">
        <f t="shared" si="6"/>
        <v>16.636636017868284</v>
      </c>
      <c r="Q24" s="3">
        <f t="shared" si="7"/>
        <v>15.964024440507956</v>
      </c>
      <c r="R24" s="3">
        <f t="shared" si="8"/>
        <v>27.377113803220581</v>
      </c>
      <c r="T24" s="3">
        <f t="shared" si="22"/>
        <v>56.100389710592587</v>
      </c>
      <c r="U24" s="3">
        <f t="shared" si="23"/>
        <v>64.2</v>
      </c>
      <c r="V24" s="3">
        <f t="shared" si="9"/>
        <v>19.536953624939514</v>
      </c>
      <c r="W24" s="3">
        <f t="shared" si="10"/>
        <v>18.962843666118331</v>
      </c>
      <c r="X24" s="3">
        <f t="shared" si="11"/>
        <v>21.015111062727794</v>
      </c>
      <c r="Z24" s="3">
        <f t="shared" si="24"/>
        <v>59.349482288739779</v>
      </c>
      <c r="AA24" s="3">
        <f t="shared" si="25"/>
        <v>64.2</v>
      </c>
      <c r="AB24" s="3">
        <f t="shared" si="12"/>
        <v>21.634940421326434</v>
      </c>
      <c r="AC24" s="3">
        <f t="shared" si="13"/>
        <v>21.121671636705628</v>
      </c>
      <c r="AD24" s="3">
        <f t="shared" si="14"/>
        <v>14.382789812773405</v>
      </c>
      <c r="AE24" s="3"/>
      <c r="AF24" s="3">
        <f t="shared" si="26"/>
        <v>64.2</v>
      </c>
      <c r="AG24" s="3">
        <f t="shared" si="27"/>
        <v>64.2</v>
      </c>
      <c r="AH24" s="3">
        <f t="shared" si="15"/>
        <v>23.4148790679806</v>
      </c>
      <c r="AI24" s="3">
        <f t="shared" si="16"/>
        <v>23.024958912442791</v>
      </c>
      <c r="AJ24" s="3">
        <f t="shared" si="17"/>
        <v>4.0735019201079012</v>
      </c>
    </row>
    <row r="25" spans="1:36" s="33" customFormat="1" x14ac:dyDescent="0.2">
      <c r="A25" s="3">
        <f t="shared" ref="A25:A40" si="30">A24+0.05</f>
        <v>0.15000000000000002</v>
      </c>
      <c r="B25" s="3">
        <f t="shared" si="28"/>
        <v>66.300000000000011</v>
      </c>
      <c r="C25" s="3">
        <f t="shared" si="29"/>
        <v>86.300000000000011</v>
      </c>
      <c r="D25" s="3">
        <f t="shared" si="0"/>
        <v>10.500331410112594</v>
      </c>
      <c r="E25" s="3">
        <f t="shared" si="1"/>
        <v>10.242215780459848</v>
      </c>
      <c r="F25" s="3">
        <f t="shared" si="2"/>
        <v>42.93455185178631</v>
      </c>
      <c r="G25" s="3"/>
      <c r="H25" s="3">
        <f t="shared" si="18"/>
        <v>71.559683836686375</v>
      </c>
      <c r="I25" s="3">
        <f t="shared" si="19"/>
        <v>86.300000000000011</v>
      </c>
      <c r="J25" s="3">
        <f t="shared" si="3"/>
        <v>17.631246073755904</v>
      </c>
      <c r="K25" s="3">
        <f t="shared" si="4"/>
        <v>16.773679325937575</v>
      </c>
      <c r="L25" s="3">
        <f t="shared" si="5"/>
        <v>35.300250031705467</v>
      </c>
      <c r="N25" s="3">
        <f t="shared" si="20"/>
        <v>75.07009300976307</v>
      </c>
      <c r="O25" s="3">
        <f t="shared" si="21"/>
        <v>86.300000000000011</v>
      </c>
      <c r="P25" s="3">
        <f t="shared" si="6"/>
        <v>22.185453393428759</v>
      </c>
      <c r="Q25" s="3">
        <f t="shared" si="7"/>
        <v>21.295673711092718</v>
      </c>
      <c r="R25" s="3">
        <f t="shared" si="8"/>
        <v>28.916588286271562</v>
      </c>
      <c r="T25" s="3">
        <f t="shared" si="22"/>
        <v>78.200389710592603</v>
      </c>
      <c r="U25" s="3">
        <f t="shared" si="23"/>
        <v>86.300000000000011</v>
      </c>
      <c r="V25" s="3">
        <f t="shared" si="9"/>
        <v>25.602208718449077</v>
      </c>
      <c r="W25" s="3">
        <f t="shared" si="10"/>
        <v>24.857233863231002</v>
      </c>
      <c r="X25" s="3">
        <f t="shared" si="11"/>
        <v>22.450043119014264</v>
      </c>
      <c r="Z25" s="3">
        <f t="shared" si="24"/>
        <v>81.449482288739787</v>
      </c>
      <c r="AA25" s="3">
        <f t="shared" si="25"/>
        <v>86.300000000000011</v>
      </c>
      <c r="AB25" s="3">
        <f t="shared" si="12"/>
        <v>27.901014505769609</v>
      </c>
      <c r="AC25" s="3">
        <f t="shared" si="13"/>
        <v>27.246134880835939</v>
      </c>
      <c r="AD25" s="3">
        <f t="shared" si="14"/>
        <v>15.716317897388814</v>
      </c>
      <c r="AE25" s="3"/>
      <c r="AF25" s="3">
        <f t="shared" si="26"/>
        <v>86.300000000000011</v>
      </c>
      <c r="AG25" s="3">
        <f t="shared" si="27"/>
        <v>86.300000000000011</v>
      </c>
      <c r="AH25" s="3">
        <f t="shared" si="15"/>
        <v>29.554603543916222</v>
      </c>
      <c r="AI25" s="3">
        <f t="shared" si="16"/>
        <v>29.067692818134439</v>
      </c>
      <c r="AJ25" s="3">
        <f t="shared" si="17"/>
        <v>5.1728701096558325</v>
      </c>
    </row>
    <row r="26" spans="1:36" s="3" customFormat="1" x14ac:dyDescent="0.2">
      <c r="A26" s="3">
        <f t="shared" si="30"/>
        <v>0.2</v>
      </c>
      <c r="B26" s="3">
        <f t="shared" si="28"/>
        <v>88.4</v>
      </c>
      <c r="C26" s="3">
        <f t="shared" si="29"/>
        <v>108.4</v>
      </c>
      <c r="D26" s="3">
        <f t="shared" si="0"/>
        <v>13.162117607104719</v>
      </c>
      <c r="E26" s="3">
        <f t="shared" si="1"/>
        <v>12.839265962324081</v>
      </c>
      <c r="F26" s="3">
        <f t="shared" si="2"/>
        <v>43.519758126844536</v>
      </c>
      <c r="G26" s="6"/>
      <c r="H26" s="3">
        <f t="shared" si="18"/>
        <v>93.659683836686369</v>
      </c>
      <c r="I26" s="3">
        <f t="shared" si="19"/>
        <v>108.4</v>
      </c>
      <c r="J26" s="3">
        <f t="shared" si="3"/>
        <v>21.678105137641126</v>
      </c>
      <c r="K26" s="3">
        <f t="shared" si="4"/>
        <v>20.628760342078419</v>
      </c>
      <c r="L26" s="3">
        <f t="shared" si="5"/>
        <v>36.543381551089873</v>
      </c>
      <c r="N26" s="3">
        <f t="shared" si="20"/>
        <v>97.170093009763065</v>
      </c>
      <c r="O26" s="3">
        <f t="shared" si="21"/>
        <v>108.4</v>
      </c>
      <c r="P26" s="3">
        <f t="shared" si="6"/>
        <v>26.946461662754871</v>
      </c>
      <c r="Q26" s="3">
        <f t="shared" si="7"/>
        <v>25.873097051111699</v>
      </c>
      <c r="R26" s="3">
        <f t="shared" si="8"/>
        <v>30.247135623311678</v>
      </c>
      <c r="T26" s="3">
        <f t="shared" si="22"/>
        <v>100.3003897105926</v>
      </c>
      <c r="U26" s="3">
        <f t="shared" si="23"/>
        <v>108.4</v>
      </c>
      <c r="V26" s="3">
        <f t="shared" si="9"/>
        <v>30.790449712161234</v>
      </c>
      <c r="W26" s="3">
        <f t="shared" si="10"/>
        <v>29.901951972851251</v>
      </c>
      <c r="X26" s="3">
        <f t="shared" si="11"/>
        <v>23.688527794026651</v>
      </c>
      <c r="Z26" s="3">
        <f t="shared" si="24"/>
        <v>103.54948228873978</v>
      </c>
      <c r="AA26" s="3">
        <f t="shared" si="25"/>
        <v>108.4</v>
      </c>
      <c r="AB26" s="3">
        <f t="shared" si="12"/>
        <v>33.248572211099855</v>
      </c>
      <c r="AC26" s="3">
        <f t="shared" si="13"/>
        <v>32.475204234343892</v>
      </c>
      <c r="AD26" s="3">
        <f t="shared" si="14"/>
        <v>16.865518225498413</v>
      </c>
      <c r="AF26" s="3">
        <f t="shared" si="26"/>
        <v>108.4</v>
      </c>
      <c r="AG26" s="3">
        <f t="shared" si="27"/>
        <v>108.4</v>
      </c>
      <c r="AH26" s="3">
        <f t="shared" si="15"/>
        <v>34.766941557070858</v>
      </c>
      <c r="AI26" s="3">
        <f t="shared" si="16"/>
        <v>34.199301290857413</v>
      </c>
      <c r="AJ26" s="3">
        <f t="shared" si="17"/>
        <v>6.115357987295738</v>
      </c>
    </row>
    <row r="27" spans="1:36" s="3" customFormat="1" x14ac:dyDescent="0.2">
      <c r="A27" s="3">
        <f t="shared" si="30"/>
        <v>0.25</v>
      </c>
      <c r="B27" s="3">
        <f t="shared" si="28"/>
        <v>110.5</v>
      </c>
      <c r="C27" s="3">
        <f t="shared" si="29"/>
        <v>130.5</v>
      </c>
      <c r="D27" s="3">
        <f t="shared" si="0"/>
        <v>15.409772222062983</v>
      </c>
      <c r="E27" s="3">
        <f t="shared" si="1"/>
        <v>15.032472710356561</v>
      </c>
      <c r="F27" s="3">
        <f t="shared" si="2"/>
        <v>44.014883366567702</v>
      </c>
      <c r="G27" s="6"/>
      <c r="H27" s="3">
        <f t="shared" si="18"/>
        <v>115.75968383668636</v>
      </c>
      <c r="I27" s="3">
        <f t="shared" si="19"/>
        <v>130.5</v>
      </c>
      <c r="J27" s="3">
        <f t="shared" si="3"/>
        <v>25.084473538345662</v>
      </c>
      <c r="K27" s="3">
        <f t="shared" si="4"/>
        <v>23.875124402547169</v>
      </c>
      <c r="L27" s="3">
        <f t="shared" si="5"/>
        <v>37.594275264659949</v>
      </c>
      <c r="N27" s="3">
        <f t="shared" si="20"/>
        <v>119.27009300976306</v>
      </c>
      <c r="O27" s="3">
        <f t="shared" si="21"/>
        <v>130.5</v>
      </c>
      <c r="P27" s="3">
        <f t="shared" si="6"/>
        <v>30.936642095661057</v>
      </c>
      <c r="Q27" s="3">
        <f t="shared" si="7"/>
        <v>29.711333108496888</v>
      </c>
      <c r="R27" s="3">
        <f t="shared" si="8"/>
        <v>31.369110682017762</v>
      </c>
      <c r="T27" s="3">
        <f t="shared" si="22"/>
        <v>122.40038971059259</v>
      </c>
      <c r="U27" s="3">
        <f t="shared" si="23"/>
        <v>130.5</v>
      </c>
      <c r="V27" s="3">
        <f t="shared" si="9"/>
        <v>35.124324319664851</v>
      </c>
      <c r="W27" s="3">
        <f t="shared" si="10"/>
        <v>34.1177553949138</v>
      </c>
      <c r="X27" s="3">
        <f t="shared" si="11"/>
        <v>24.730857320337474</v>
      </c>
      <c r="Z27" s="3">
        <f t="shared" si="24"/>
        <v>125.64948228873978</v>
      </c>
      <c r="AA27" s="3">
        <f t="shared" si="25"/>
        <v>130.5</v>
      </c>
      <c r="AB27" s="3">
        <f t="shared" si="12"/>
        <v>37.703086814551654</v>
      </c>
      <c r="AC27" s="3">
        <f t="shared" si="13"/>
        <v>36.832636197002671</v>
      </c>
      <c r="AD27" s="3">
        <f t="shared" si="14"/>
        <v>17.830629684375758</v>
      </c>
      <c r="AF27" s="3">
        <f t="shared" si="26"/>
        <v>130.5</v>
      </c>
      <c r="AG27" s="3">
        <f t="shared" si="27"/>
        <v>130.5</v>
      </c>
      <c r="AH27" s="3">
        <f t="shared" si="15"/>
        <v>39.077283925886412</v>
      </c>
      <c r="AI27" s="3">
        <f t="shared" si="16"/>
        <v>38.443972125185375</v>
      </c>
      <c r="AJ27" s="3">
        <f t="shared" si="17"/>
        <v>6.9011076476353992</v>
      </c>
    </row>
    <row r="28" spans="1:36" s="3" customFormat="1" x14ac:dyDescent="0.2">
      <c r="A28" s="3">
        <f t="shared" si="30"/>
        <v>0.3</v>
      </c>
      <c r="B28" s="3">
        <f t="shared" si="28"/>
        <v>132.6</v>
      </c>
      <c r="C28" s="3">
        <f t="shared" si="29"/>
        <v>152.6</v>
      </c>
      <c r="D28" s="3">
        <f t="shared" si="0"/>
        <v>17.245626016140122</v>
      </c>
      <c r="E28" s="3">
        <f t="shared" si="1"/>
        <v>16.824000355656782</v>
      </c>
      <c r="F28" s="3">
        <f t="shared" si="2"/>
        <v>44.419952230512209</v>
      </c>
      <c r="G28" s="6"/>
      <c r="H28" s="3">
        <f t="shared" si="18"/>
        <v>137.85968383668634</v>
      </c>
      <c r="I28" s="3">
        <f t="shared" si="19"/>
        <v>152.6</v>
      </c>
      <c r="J28" s="3">
        <f t="shared" si="3"/>
        <v>27.858630362162955</v>
      </c>
      <c r="K28" s="3">
        <f t="shared" si="4"/>
        <v>26.519921753843175</v>
      </c>
      <c r="L28" s="3">
        <f t="shared" si="5"/>
        <v>38.453168895406883</v>
      </c>
      <c r="N28" s="3">
        <f t="shared" si="20"/>
        <v>141.37009300976305</v>
      </c>
      <c r="O28" s="3">
        <f t="shared" si="21"/>
        <v>152.6</v>
      </c>
      <c r="P28" s="3">
        <f t="shared" si="6"/>
        <v>34.169852202431855</v>
      </c>
      <c r="Q28" s="3">
        <f t="shared" si="7"/>
        <v>32.822684967069449</v>
      </c>
      <c r="R28" s="3">
        <f t="shared" si="8"/>
        <v>32.282812077792059</v>
      </c>
      <c r="T28" s="3">
        <f t="shared" si="22"/>
        <v>144.50038971059257</v>
      </c>
      <c r="U28" s="3">
        <f t="shared" si="23"/>
        <v>152.6</v>
      </c>
      <c r="V28" s="3">
        <f t="shared" si="9"/>
        <v>38.622155834373274</v>
      </c>
      <c r="W28" s="3">
        <f t="shared" si="10"/>
        <v>37.521474507677411</v>
      </c>
      <c r="X28" s="3">
        <f t="shared" si="11"/>
        <v>25.577277196725628</v>
      </c>
      <c r="Z28" s="3">
        <f t="shared" si="24"/>
        <v>147.74948228873976</v>
      </c>
      <c r="AA28" s="3">
        <f t="shared" si="25"/>
        <v>152.6</v>
      </c>
      <c r="AB28" s="3">
        <f t="shared" si="12"/>
        <v>41.285062026176348</v>
      </c>
      <c r="AC28" s="3">
        <f t="shared" si="13"/>
        <v>40.337588401195831</v>
      </c>
      <c r="AD28" s="3">
        <f t="shared" si="14"/>
        <v>18.611852575434163</v>
      </c>
      <c r="AF28" s="3">
        <f t="shared" si="26"/>
        <v>152.6</v>
      </c>
      <c r="AG28" s="3">
        <f t="shared" si="27"/>
        <v>152.6</v>
      </c>
      <c r="AH28" s="3">
        <f t="shared" si="15"/>
        <v>42.505930755437625</v>
      </c>
      <c r="AI28" s="3">
        <f t="shared" si="16"/>
        <v>41.821068564340855</v>
      </c>
      <c r="AJ28" s="3">
        <f t="shared" si="17"/>
        <v>7.5302374234256604</v>
      </c>
    </row>
    <row r="29" spans="1:36" s="3" customFormat="1" x14ac:dyDescent="0.2">
      <c r="A29" s="3">
        <f t="shared" si="30"/>
        <v>0.35</v>
      </c>
      <c r="B29" s="3">
        <f t="shared" si="28"/>
        <v>154.69999999999999</v>
      </c>
      <c r="C29" s="3">
        <f t="shared" si="29"/>
        <v>174.7</v>
      </c>
      <c r="D29" s="3">
        <f t="shared" si="0"/>
        <v>18.67156975838212</v>
      </c>
      <c r="E29" s="3">
        <f t="shared" si="1"/>
        <v>18.215605372452902</v>
      </c>
      <c r="F29" s="3">
        <f t="shared" si="2"/>
        <v>44.734984886312887</v>
      </c>
      <c r="G29" s="6"/>
      <c r="H29" s="3">
        <f t="shared" si="18"/>
        <v>159.95968383668634</v>
      </c>
      <c r="I29" s="3">
        <f t="shared" si="19"/>
        <v>174.7</v>
      </c>
      <c r="J29" s="3">
        <f t="shared" si="3"/>
        <v>30.007212922004271</v>
      </c>
      <c r="K29" s="3">
        <f t="shared" si="4"/>
        <v>28.568895045042733</v>
      </c>
      <c r="L29" s="3">
        <f t="shared" si="5"/>
        <v>39.120256442899766</v>
      </c>
      <c r="N29" s="3">
        <f t="shared" si="20"/>
        <v>163.47009300976305</v>
      </c>
      <c r="O29" s="3">
        <f t="shared" si="21"/>
        <v>174.7</v>
      </c>
      <c r="P29" s="3">
        <f t="shared" si="6"/>
        <v>36.657077687831304</v>
      </c>
      <c r="Q29" s="3">
        <f t="shared" si="7"/>
        <v>35.21692592110378</v>
      </c>
      <c r="R29" s="3">
        <f t="shared" si="8"/>
        <v>32.988482572639313</v>
      </c>
      <c r="T29" s="3">
        <f t="shared" si="22"/>
        <v>166.60038971059257</v>
      </c>
      <c r="U29" s="3">
        <f t="shared" si="23"/>
        <v>174.7</v>
      </c>
      <c r="V29" s="3">
        <f t="shared" si="9"/>
        <v>41.298352008419641</v>
      </c>
      <c r="W29" s="3">
        <f t="shared" si="10"/>
        <v>40.126366300239354</v>
      </c>
      <c r="X29" s="3">
        <f t="shared" si="11"/>
        <v>26.227986478226523</v>
      </c>
      <c r="Z29" s="3">
        <f t="shared" si="24"/>
        <v>169.84948228873975</v>
      </c>
      <c r="AA29" s="3">
        <f t="shared" si="25"/>
        <v>174.7</v>
      </c>
      <c r="AB29" s="3">
        <f t="shared" si="12"/>
        <v>44.010531656858149</v>
      </c>
      <c r="AC29" s="3">
        <f t="shared" si="13"/>
        <v>43.005064486180231</v>
      </c>
      <c r="AD29" s="3">
        <f t="shared" si="14"/>
        <v>19.209348822662427</v>
      </c>
      <c r="AF29" s="3">
        <f t="shared" si="26"/>
        <v>174.7</v>
      </c>
      <c r="AG29" s="3">
        <f t="shared" si="27"/>
        <v>174.7</v>
      </c>
      <c r="AH29" s="3">
        <f t="shared" si="15"/>
        <v>45.068596127999207</v>
      </c>
      <c r="AI29" s="3">
        <f t="shared" si="16"/>
        <v>44.345594846429314</v>
      </c>
      <c r="AJ29" s="3">
        <f t="shared" si="17"/>
        <v>8.0028419748341548</v>
      </c>
    </row>
    <row r="30" spans="1:36" s="3" customFormat="1" x14ac:dyDescent="0.2">
      <c r="A30" s="3">
        <f t="shared" si="30"/>
        <v>0.39999999999999997</v>
      </c>
      <c r="B30" s="3">
        <f t="shared" si="28"/>
        <v>176.79999999999998</v>
      </c>
      <c r="C30" s="3">
        <f t="shared" si="29"/>
        <v>196.79999999999998</v>
      </c>
      <c r="D30" s="3">
        <f t="shared" si="0"/>
        <v>19.689064064043677</v>
      </c>
      <c r="E30" s="3">
        <f t="shared" si="1"/>
        <v>19.20864507426899</v>
      </c>
      <c r="F30" s="3">
        <f t="shared" si="2"/>
        <v>44.959997014704314</v>
      </c>
      <c r="G30" s="6"/>
      <c r="H30" s="3">
        <f t="shared" si="18"/>
        <v>182.05968383668633</v>
      </c>
      <c r="I30" s="3">
        <f t="shared" si="19"/>
        <v>196.79999999999998</v>
      </c>
      <c r="J30" s="3">
        <f t="shared" si="3"/>
        <v>31.535298052033625</v>
      </c>
      <c r="K30" s="3">
        <f t="shared" si="4"/>
        <v>30.026443024744832</v>
      </c>
      <c r="L30" s="3">
        <f t="shared" si="5"/>
        <v>39.595688402880818</v>
      </c>
      <c r="N30" s="3">
        <f t="shared" si="20"/>
        <v>185.57009300976304</v>
      </c>
      <c r="O30" s="3">
        <f t="shared" si="21"/>
        <v>196.79999999999998</v>
      </c>
      <c r="P30" s="3">
        <f t="shared" si="6"/>
        <v>38.406625164130503</v>
      </c>
      <c r="Q30" s="3">
        <f t="shared" si="7"/>
        <v>36.90145760299913</v>
      </c>
      <c r="R30" s="3">
        <f t="shared" si="8"/>
        <v>33.486309398504872</v>
      </c>
      <c r="T30" s="3">
        <f t="shared" si="22"/>
        <v>188.70038971059256</v>
      </c>
      <c r="U30" s="3">
        <f t="shared" si="23"/>
        <v>196.79999999999998</v>
      </c>
      <c r="V30" s="3">
        <f t="shared" si="9"/>
        <v>43.163713147512539</v>
      </c>
      <c r="W30" s="3">
        <f t="shared" si="10"/>
        <v>41.94238190418146</v>
      </c>
      <c r="X30" s="3">
        <f t="shared" si="11"/>
        <v>26.683138010718505</v>
      </c>
      <c r="Z30" s="3">
        <f t="shared" si="24"/>
        <v>191.94948228873974</v>
      </c>
      <c r="AA30" s="3">
        <f t="shared" si="25"/>
        <v>196.79999999999998</v>
      </c>
      <c r="AB30" s="3">
        <f t="shared" si="12"/>
        <v>45.891432963227004</v>
      </c>
      <c r="AC30" s="3">
        <f t="shared" si="13"/>
        <v>44.846247640935189</v>
      </c>
      <c r="AD30" s="3">
        <f t="shared" si="14"/>
        <v>19.623242140757206</v>
      </c>
      <c r="AF30" s="3">
        <f t="shared" si="26"/>
        <v>196.79999999999998</v>
      </c>
      <c r="AG30" s="3">
        <f t="shared" si="27"/>
        <v>196.79999999999998</v>
      </c>
      <c r="AH30" s="3">
        <f t="shared" si="15"/>
        <v>46.776781769535582</v>
      </c>
      <c r="AI30" s="3">
        <f t="shared" si="16"/>
        <v>46.028541698540714</v>
      </c>
      <c r="AJ30" s="3">
        <f t="shared" si="17"/>
        <v>8.3189923607465062</v>
      </c>
    </row>
    <row r="31" spans="1:36" s="3" customFormat="1" x14ac:dyDescent="0.2">
      <c r="A31" s="3">
        <f t="shared" si="30"/>
        <v>0.44999999999999996</v>
      </c>
      <c r="B31" s="3">
        <f t="shared" si="28"/>
        <v>198.89999999999998</v>
      </c>
      <c r="C31" s="3">
        <f t="shared" si="29"/>
        <v>218.89999999999998</v>
      </c>
      <c r="D31" s="3">
        <f t="shared" si="0"/>
        <v>20.299146926169996</v>
      </c>
      <c r="E31" s="3">
        <f t="shared" si="1"/>
        <v>19.804084276180394</v>
      </c>
      <c r="F31" s="3">
        <f t="shared" si="2"/>
        <v>45.094999813423456</v>
      </c>
      <c r="G31" s="6"/>
      <c r="H31" s="3">
        <f t="shared" si="18"/>
        <v>204.15968383668633</v>
      </c>
      <c r="I31" s="3">
        <f t="shared" si="19"/>
        <v>218.89999999999998</v>
      </c>
      <c r="J31" s="3">
        <f t="shared" si="3"/>
        <v>32.446463018367069</v>
      </c>
      <c r="K31" s="3">
        <f t="shared" si="4"/>
        <v>30.895668423667427</v>
      </c>
      <c r="L31" s="3">
        <f t="shared" si="5"/>
        <v>39.879571937278591</v>
      </c>
      <c r="N31" s="3">
        <f t="shared" si="20"/>
        <v>207.67009300976304</v>
      </c>
      <c r="O31" s="3">
        <f t="shared" si="21"/>
        <v>218.89999999999998</v>
      </c>
      <c r="P31" s="3">
        <f t="shared" si="6"/>
        <v>39.424263778561738</v>
      </c>
      <c r="Q31" s="3">
        <f t="shared" si="7"/>
        <v>37.881426621420928</v>
      </c>
      <c r="R31" s="3">
        <f t="shared" si="8"/>
        <v>33.776424506081057</v>
      </c>
      <c r="T31" s="3">
        <f t="shared" si="22"/>
        <v>210.80038971059255</v>
      </c>
      <c r="U31" s="3">
        <f t="shared" si="23"/>
        <v>218.89999999999998</v>
      </c>
      <c r="V31" s="3">
        <f t="shared" si="9"/>
        <v>44.225655406338518</v>
      </c>
      <c r="W31" s="3">
        <f t="shared" si="10"/>
        <v>42.976361097219481</v>
      </c>
      <c r="X31" s="3">
        <f t="shared" si="11"/>
        <v>26.942838610693581</v>
      </c>
      <c r="Z31" s="3">
        <f t="shared" si="24"/>
        <v>214.04948228873974</v>
      </c>
      <c r="AA31" s="3">
        <f t="shared" si="25"/>
        <v>218.89999999999998</v>
      </c>
      <c r="AB31" s="3">
        <f t="shared" si="12"/>
        <v>46.935874806674434</v>
      </c>
      <c r="AC31" s="3">
        <f t="shared" si="13"/>
        <v>45.868740814282773</v>
      </c>
      <c r="AD31" s="3">
        <f t="shared" si="14"/>
        <v>19.853618163357673</v>
      </c>
      <c r="AF31" s="3">
        <f t="shared" si="26"/>
        <v>218.89999999999998</v>
      </c>
      <c r="AG31" s="3">
        <f t="shared" si="27"/>
        <v>218.89999999999998</v>
      </c>
      <c r="AH31" s="3">
        <f t="shared" si="15"/>
        <v>47.638041248466756</v>
      </c>
      <c r="AI31" s="3">
        <f t="shared" si="16"/>
        <v>46.877131057298463</v>
      </c>
      <c r="AJ31" s="3">
        <f t="shared" si="17"/>
        <v>8.478736092230065</v>
      </c>
    </row>
    <row r="32" spans="1:36" s="31" customFormat="1" x14ac:dyDescent="0.2">
      <c r="A32" s="31">
        <f t="shared" si="30"/>
        <v>0.49999999999999994</v>
      </c>
      <c r="B32" s="31">
        <f t="shared" si="28"/>
        <v>220.99999999999997</v>
      </c>
      <c r="C32" s="31">
        <f t="shared" si="29"/>
        <v>240.99999999999997</v>
      </c>
      <c r="D32" s="31">
        <f t="shared" si="0"/>
        <v>20.502439031734738</v>
      </c>
      <c r="E32" s="31">
        <f t="shared" si="1"/>
        <v>20.002500000000001</v>
      </c>
      <c r="F32" s="31">
        <f t="shared" si="2"/>
        <v>45.14</v>
      </c>
      <c r="G32" s="32"/>
      <c r="H32" s="31">
        <f t="shared" si="18"/>
        <v>226.25968383668632</v>
      </c>
      <c r="I32" s="31">
        <f t="shared" si="19"/>
        <v>240.99999999999997</v>
      </c>
      <c r="J32" s="31">
        <f t="shared" si="3"/>
        <v>32.742827779985817</v>
      </c>
      <c r="K32" s="31">
        <f t="shared" si="4"/>
        <v>31.178411257876984</v>
      </c>
      <c r="L32" s="31">
        <f t="shared" si="5"/>
        <v>39.971970995088007</v>
      </c>
      <c r="N32" s="31">
        <f t="shared" si="20"/>
        <v>229.77009300976303</v>
      </c>
      <c r="O32" s="31">
        <f t="shared" si="21"/>
        <v>240.99999999999997</v>
      </c>
      <c r="P32" s="31">
        <f t="shared" si="6"/>
        <v>39.713321519755652</v>
      </c>
      <c r="Q32" s="31">
        <f t="shared" si="7"/>
        <v>38.159804090456419</v>
      </c>
      <c r="R32" s="31">
        <f t="shared" si="8"/>
        <v>33.858904739848967</v>
      </c>
      <c r="T32" s="31">
        <f t="shared" si="22"/>
        <v>232.90038971059255</v>
      </c>
      <c r="U32" s="31">
        <f t="shared" si="23"/>
        <v>240.99999999999997</v>
      </c>
      <c r="V32" s="31">
        <f t="shared" si="9"/>
        <v>44.488360348493273</v>
      </c>
      <c r="W32" s="31">
        <f t="shared" si="10"/>
        <v>43.232162877278554</v>
      </c>
      <c r="X32" s="31">
        <f t="shared" si="11"/>
        <v>27.007149190702659</v>
      </c>
      <c r="Z32" s="31">
        <f t="shared" si="24"/>
        <v>236.14948228873973</v>
      </c>
      <c r="AA32" s="31">
        <f t="shared" si="25"/>
        <v>240.99999999999997</v>
      </c>
      <c r="AB32" s="31">
        <f t="shared" si="12"/>
        <v>47.148315083233143</v>
      </c>
      <c r="AC32" s="31">
        <f t="shared" si="13"/>
        <v>46.076725960214162</v>
      </c>
      <c r="AD32" s="31">
        <f t="shared" si="14"/>
        <v>19.900524531698515</v>
      </c>
      <c r="AF32" s="31">
        <f t="shared" si="26"/>
        <v>240.99999999999997</v>
      </c>
      <c r="AG32" s="31">
        <f t="shared" si="27"/>
        <v>240.99999999999997</v>
      </c>
      <c r="AH32" s="31">
        <f t="shared" si="15"/>
        <v>47.656149242859364</v>
      </c>
      <c r="AI32" s="31">
        <f t="shared" si="16"/>
        <v>46.894973057424629</v>
      </c>
      <c r="AJ32" s="31">
        <f t="shared" si="17"/>
        <v>8.4820971682506752</v>
      </c>
    </row>
    <row r="33" spans="1:36" s="3" customFormat="1" x14ac:dyDescent="0.2">
      <c r="A33" s="3">
        <f t="shared" si="30"/>
        <v>0.54999999999999993</v>
      </c>
      <c r="B33" s="3">
        <f t="shared" si="28"/>
        <v>243.09999999999997</v>
      </c>
      <c r="C33" s="3">
        <f t="shared" si="29"/>
        <v>263.09999999999997</v>
      </c>
      <c r="D33" s="3">
        <f t="shared" si="0"/>
        <v>20.299146926169996</v>
      </c>
      <c r="E33" s="3">
        <f t="shared" si="1"/>
        <v>19.804084276180394</v>
      </c>
      <c r="F33" s="3">
        <f t="shared" si="2"/>
        <v>45.094999813423456</v>
      </c>
      <c r="G33" s="6"/>
      <c r="H33" s="3">
        <f t="shared" si="18"/>
        <v>248.35968383668632</v>
      </c>
      <c r="I33" s="3">
        <f t="shared" si="19"/>
        <v>263.09999999999997</v>
      </c>
      <c r="J33" s="3">
        <f t="shared" si="3"/>
        <v>32.425079777476242</v>
      </c>
      <c r="K33" s="3">
        <f t="shared" si="4"/>
        <v>30.875268394977763</v>
      </c>
      <c r="L33" s="3">
        <f t="shared" si="5"/>
        <v>39.872906384431893</v>
      </c>
      <c r="N33" s="3">
        <f t="shared" si="20"/>
        <v>251.87009300976302</v>
      </c>
      <c r="O33" s="3">
        <f t="shared" si="21"/>
        <v>263.09999999999997</v>
      </c>
      <c r="P33" s="3">
        <f t="shared" si="6"/>
        <v>39.274740009788331</v>
      </c>
      <c r="Q33" s="3">
        <f t="shared" si="7"/>
        <v>37.7374309565148</v>
      </c>
      <c r="R33" s="3">
        <f t="shared" si="8"/>
        <v>33.733771939908692</v>
      </c>
      <c r="T33" s="3">
        <f t="shared" si="22"/>
        <v>255.00038971059254</v>
      </c>
      <c r="U33" s="3">
        <f t="shared" si="23"/>
        <v>263.09999999999997</v>
      </c>
      <c r="V33" s="3">
        <f t="shared" si="9"/>
        <v>43.952857930178965</v>
      </c>
      <c r="W33" s="3">
        <f t="shared" si="10"/>
        <v>42.710738018448481</v>
      </c>
      <c r="X33" s="3">
        <f t="shared" si="11"/>
        <v>26.876084830827278</v>
      </c>
      <c r="Z33" s="3">
        <f t="shared" si="24"/>
        <v>258.24948228873973</v>
      </c>
      <c r="AA33" s="3">
        <f t="shared" si="25"/>
        <v>263.09999999999997</v>
      </c>
      <c r="AB33" s="3">
        <f t="shared" si="12"/>
        <v>46.529656647266648</v>
      </c>
      <c r="AC33" s="3">
        <f t="shared" si="13"/>
        <v>45.471050236089354</v>
      </c>
      <c r="AD33" s="3">
        <f t="shared" si="14"/>
        <v>19.763970943888175</v>
      </c>
      <c r="AF33" s="3">
        <f t="shared" si="26"/>
        <v>263.09999999999997</v>
      </c>
      <c r="AG33" s="3">
        <f t="shared" si="27"/>
        <v>263.09999999999997</v>
      </c>
      <c r="AH33" s="3">
        <f t="shared" si="15"/>
        <v>46.831184874007512</v>
      </c>
      <c r="AI33" s="3">
        <f t="shared" si="16"/>
        <v>46.08214337963863</v>
      </c>
      <c r="AJ33" s="3">
        <f t="shared" si="17"/>
        <v>8.329076093704316</v>
      </c>
    </row>
    <row r="34" spans="1:36" s="3" customFormat="1" x14ac:dyDescent="0.2">
      <c r="A34" s="3">
        <f t="shared" si="30"/>
        <v>0.6</v>
      </c>
      <c r="B34" s="3">
        <f t="shared" si="28"/>
        <v>265.2</v>
      </c>
      <c r="C34" s="3">
        <f t="shared" si="29"/>
        <v>285.2</v>
      </c>
      <c r="D34" s="3">
        <f t="shared" si="0"/>
        <v>19.689064064043677</v>
      </c>
      <c r="E34" s="3">
        <f t="shared" si="1"/>
        <v>19.20864507426899</v>
      </c>
      <c r="F34" s="3">
        <f t="shared" si="2"/>
        <v>44.959997014704314</v>
      </c>
      <c r="G34" s="6"/>
      <c r="H34" s="3">
        <f t="shared" si="18"/>
        <v>270.45968383668634</v>
      </c>
      <c r="I34" s="3">
        <f t="shared" si="19"/>
        <v>285.2</v>
      </c>
      <c r="J34" s="3">
        <f t="shared" si="3"/>
        <v>31.49248193048885</v>
      </c>
      <c r="K34" s="3">
        <f t="shared" si="4"/>
        <v>29.985599871710757</v>
      </c>
      <c r="L34" s="3">
        <f t="shared" si="5"/>
        <v>39.582355795998659</v>
      </c>
      <c r="N34" s="3">
        <f t="shared" si="20"/>
        <v>273.97009300976305</v>
      </c>
      <c r="O34" s="3">
        <f t="shared" si="21"/>
        <v>285.2</v>
      </c>
      <c r="P34" s="3">
        <f t="shared" si="6"/>
        <v>38.107089905991359</v>
      </c>
      <c r="Q34" s="3">
        <f t="shared" si="7"/>
        <v>36.613030750147573</v>
      </c>
      <c r="R34" s="3">
        <f t="shared" si="8"/>
        <v>33.400992970903516</v>
      </c>
      <c r="T34" s="3">
        <f t="shared" si="22"/>
        <v>277.10038971059259</v>
      </c>
      <c r="U34" s="3">
        <f t="shared" si="23"/>
        <v>285.2</v>
      </c>
      <c r="V34" s="3">
        <f t="shared" si="9"/>
        <v>42.617046791456431</v>
      </c>
      <c r="W34" s="3">
        <f t="shared" si="10"/>
        <v>41.410146824222764</v>
      </c>
      <c r="X34" s="3">
        <f t="shared" si="11"/>
        <v>26.549614796362004</v>
      </c>
      <c r="Z34" s="3">
        <f t="shared" si="24"/>
        <v>280.34948228873975</v>
      </c>
      <c r="AA34" s="3">
        <f t="shared" si="25"/>
        <v>285.2</v>
      </c>
      <c r="AB34" s="3">
        <f t="shared" si="12"/>
        <v>45.077266599382284</v>
      </c>
      <c r="AC34" s="3">
        <f t="shared" si="13"/>
        <v>44.049243344107936</v>
      </c>
      <c r="AD34" s="3">
        <f t="shared" si="14"/>
        <v>19.443929164938758</v>
      </c>
      <c r="AF34" s="3">
        <f t="shared" si="26"/>
        <v>285.2</v>
      </c>
      <c r="AG34" s="3">
        <f t="shared" si="27"/>
        <v>285.2</v>
      </c>
      <c r="AH34" s="3">
        <f t="shared" si="15"/>
        <v>45.159533444286161</v>
      </c>
      <c r="AI34" s="3">
        <f t="shared" si="16"/>
        <v>44.435184864106866</v>
      </c>
      <c r="AJ34" s="3">
        <f t="shared" si="17"/>
        <v>8.0196498797963613</v>
      </c>
    </row>
    <row r="35" spans="1:36" s="3" customFormat="1" x14ac:dyDescent="0.2">
      <c r="A35" s="3">
        <f t="shared" si="30"/>
        <v>0.65</v>
      </c>
      <c r="B35" s="3">
        <f t="shared" si="28"/>
        <v>287.3</v>
      </c>
      <c r="C35" s="3">
        <f t="shared" si="29"/>
        <v>307.3</v>
      </c>
      <c r="D35" s="3">
        <f t="shared" si="0"/>
        <v>18.67156975838212</v>
      </c>
      <c r="E35" s="3">
        <f t="shared" si="1"/>
        <v>18.215605372452902</v>
      </c>
      <c r="F35" s="3">
        <f t="shared" si="2"/>
        <v>44.734984886312887</v>
      </c>
      <c r="G35" s="6"/>
      <c r="H35" s="3">
        <f t="shared" si="18"/>
        <v>292.55968383668636</v>
      </c>
      <c r="I35" s="3">
        <f t="shared" si="19"/>
        <v>307.3</v>
      </c>
      <c r="J35" s="3">
        <f t="shared" si="3"/>
        <v>29.942864062013484</v>
      </c>
      <c r="K35" s="3">
        <f t="shared" si="4"/>
        <v>28.507522119649263</v>
      </c>
      <c r="L35" s="3">
        <f t="shared" si="5"/>
        <v>39.100253777913871</v>
      </c>
      <c r="N35" s="3">
        <f t="shared" si="20"/>
        <v>296.07009300976307</v>
      </c>
      <c r="O35" s="3">
        <f t="shared" si="21"/>
        <v>307.3</v>
      </c>
      <c r="P35" s="3">
        <f t="shared" si="6"/>
        <v>36.206547504141611</v>
      </c>
      <c r="Q35" s="3">
        <f t="shared" si="7"/>
        <v>34.783190216670732</v>
      </c>
      <c r="R35" s="3">
        <f t="shared" si="8"/>
        <v>32.860479678132705</v>
      </c>
      <c r="T35" s="3">
        <f t="shared" si="22"/>
        <v>299.20038971059262</v>
      </c>
      <c r="U35" s="3">
        <f t="shared" si="23"/>
        <v>307.3</v>
      </c>
      <c r="V35" s="3">
        <f t="shared" si="9"/>
        <v>40.47565279499949</v>
      </c>
      <c r="W35" s="3">
        <f t="shared" si="10"/>
        <v>39.325522857150375</v>
      </c>
      <c r="X35" s="3">
        <f t="shared" si="11"/>
        <v>26.027662501768429</v>
      </c>
      <c r="Z35" s="3">
        <f t="shared" si="24"/>
        <v>302.44948228873977</v>
      </c>
      <c r="AA35" s="3">
        <f t="shared" si="25"/>
        <v>307.3</v>
      </c>
      <c r="AB35" s="3">
        <f t="shared" si="12"/>
        <v>42.784919907974341</v>
      </c>
      <c r="AC35" s="3">
        <f t="shared" si="13"/>
        <v>41.805466850903258</v>
      </c>
      <c r="AD35" s="3">
        <f t="shared" si="14"/>
        <v>18.940332997565342</v>
      </c>
      <c r="AF35" s="3">
        <f t="shared" si="26"/>
        <v>307.3</v>
      </c>
      <c r="AG35" s="3">
        <f t="shared" si="27"/>
        <v>307.3</v>
      </c>
      <c r="AH35" s="3">
        <f t="shared" si="15"/>
        <v>42.633806669086006</v>
      </c>
      <c r="AI35" s="3">
        <f t="shared" si="16"/>
        <v>41.947033470355102</v>
      </c>
      <c r="AJ35" s="3">
        <f t="shared" si="17"/>
        <v>7.5537720267675468</v>
      </c>
    </row>
    <row r="36" spans="1:36" s="3" customFormat="1" x14ac:dyDescent="0.2">
      <c r="A36" s="3">
        <f t="shared" si="30"/>
        <v>0.70000000000000007</v>
      </c>
      <c r="B36" s="3">
        <f t="shared" si="28"/>
        <v>309.40000000000003</v>
      </c>
      <c r="C36" s="3">
        <f t="shared" si="29"/>
        <v>329.40000000000003</v>
      </c>
      <c r="D36" s="3">
        <f t="shared" si="0"/>
        <v>17.245626016140122</v>
      </c>
      <c r="E36" s="3">
        <f t="shared" si="1"/>
        <v>16.824000355656782</v>
      </c>
      <c r="F36" s="3">
        <f t="shared" si="2"/>
        <v>44.419952230512209</v>
      </c>
      <c r="G36" s="6"/>
      <c r="H36" s="3">
        <f t="shared" si="18"/>
        <v>314.65968383668638</v>
      </c>
      <c r="I36" s="3">
        <f t="shared" si="19"/>
        <v>329.40000000000003</v>
      </c>
      <c r="J36" s="3">
        <f t="shared" si="3"/>
        <v>27.772597515573864</v>
      </c>
      <c r="K36" s="3">
        <f t="shared" si="4"/>
        <v>26.437887930957924</v>
      </c>
      <c r="L36" s="3">
        <f t="shared" si="5"/>
        <v>38.426491661982503</v>
      </c>
      <c r="N36" s="3">
        <f t="shared" si="20"/>
        <v>318.17009300976309</v>
      </c>
      <c r="O36" s="3">
        <f t="shared" si="21"/>
        <v>329.40000000000003</v>
      </c>
      <c r="P36" s="3">
        <f t="shared" si="6"/>
        <v>33.566831643360331</v>
      </c>
      <c r="Q36" s="3">
        <f t="shared" si="7"/>
        <v>32.242307135490364</v>
      </c>
      <c r="R36" s="3">
        <f t="shared" si="8"/>
        <v>32.112088770714635</v>
      </c>
      <c r="T36" s="3">
        <f t="shared" si="22"/>
        <v>321.30038971059264</v>
      </c>
      <c r="U36" s="3">
        <f t="shared" si="23"/>
        <v>329.40000000000003</v>
      </c>
      <c r="V36" s="3">
        <f t="shared" si="9"/>
        <v>37.520123887666131</v>
      </c>
      <c r="W36" s="3">
        <f t="shared" si="10"/>
        <v>36.448981049915304</v>
      </c>
      <c r="X36" s="3">
        <f t="shared" si="11"/>
        <v>25.31010542079208</v>
      </c>
      <c r="Z36" s="3">
        <f t="shared" si="24"/>
        <v>324.5494822887398</v>
      </c>
      <c r="AA36" s="3">
        <f t="shared" si="25"/>
        <v>329.40000000000003</v>
      </c>
      <c r="AB36" s="3">
        <f t="shared" si="12"/>
        <v>39.642664521479134</v>
      </c>
      <c r="AC36" s="3">
        <f t="shared" si="13"/>
        <v>38.730393037693943</v>
      </c>
      <c r="AD36" s="3">
        <f t="shared" si="14"/>
        <v>18.253078213688291</v>
      </c>
      <c r="AF36" s="3">
        <f t="shared" si="26"/>
        <v>329.40000000000003</v>
      </c>
      <c r="AG36" s="3">
        <f t="shared" si="27"/>
        <v>329.40000000000003</v>
      </c>
      <c r="AH36" s="3">
        <f t="shared" si="15"/>
        <v>39.242677253023238</v>
      </c>
      <c r="AI36" s="3">
        <f t="shared" si="16"/>
        <v>38.606864846637784</v>
      </c>
      <c r="AJ36" s="3">
        <f t="shared" si="17"/>
        <v>6.9313724889411787</v>
      </c>
    </row>
    <row r="37" spans="1:36" s="3" customFormat="1" x14ac:dyDescent="0.2">
      <c r="A37" s="3">
        <f t="shared" si="30"/>
        <v>0.75000000000000011</v>
      </c>
      <c r="B37" s="3">
        <f t="shared" si="28"/>
        <v>331.50000000000006</v>
      </c>
      <c r="C37" s="3">
        <f t="shared" si="29"/>
        <v>351.50000000000006</v>
      </c>
      <c r="D37" s="3">
        <f t="shared" si="0"/>
        <v>15.409772222062983</v>
      </c>
      <c r="E37" s="3">
        <f t="shared" si="1"/>
        <v>15.032472710356561</v>
      </c>
      <c r="F37" s="3">
        <f t="shared" si="2"/>
        <v>44.014883366567702</v>
      </c>
      <c r="G37" s="6"/>
      <c r="H37" s="3">
        <f t="shared" si="18"/>
        <v>336.75968383668641</v>
      </c>
      <c r="I37" s="3">
        <f t="shared" si="19"/>
        <v>351.50000000000006</v>
      </c>
      <c r="J37" s="3">
        <f t="shared" si="3"/>
        <v>24.976552267866339</v>
      </c>
      <c r="K37" s="3">
        <f t="shared" si="4"/>
        <v>23.772252663907249</v>
      </c>
      <c r="L37" s="3">
        <f t="shared" si="5"/>
        <v>37.560917441105424</v>
      </c>
      <c r="N37" s="3">
        <f t="shared" si="20"/>
        <v>340.27009300976312</v>
      </c>
      <c r="O37" s="3">
        <f t="shared" si="21"/>
        <v>351.50000000000006</v>
      </c>
      <c r="P37" s="3">
        <f t="shared" si="6"/>
        <v>30.179098458943884</v>
      </c>
      <c r="Q37" s="3">
        <f t="shared" si="7"/>
        <v>28.982503449425508</v>
      </c>
      <c r="R37" s="3">
        <f t="shared" si="8"/>
        <v>31.155621631441463</v>
      </c>
      <c r="T37" s="3">
        <f t="shared" si="22"/>
        <v>343.40038971059266</v>
      </c>
      <c r="U37" s="3">
        <f t="shared" si="23"/>
        <v>351.50000000000006</v>
      </c>
      <c r="V37" s="3">
        <f t="shared" si="9"/>
        <v>33.738456332946129</v>
      </c>
      <c r="W37" s="3">
        <f t="shared" si="10"/>
        <v>32.76946610116552</v>
      </c>
      <c r="X37" s="3">
        <f t="shared" si="11"/>
        <v>24.39677494250169</v>
      </c>
      <c r="Z37" s="3">
        <f t="shared" si="24"/>
        <v>346.64948228873982</v>
      </c>
      <c r="AA37" s="3">
        <f t="shared" si="25"/>
        <v>351.50000000000006</v>
      </c>
      <c r="AB37" s="3">
        <f t="shared" si="12"/>
        <v>35.636601054893305</v>
      </c>
      <c r="AC37" s="3">
        <f t="shared" si="13"/>
        <v>34.811007335739191</v>
      </c>
      <c r="AD37" s="3">
        <f t="shared" si="14"/>
        <v>17.382022446473506</v>
      </c>
      <c r="AF37" s="3">
        <f t="shared" si="26"/>
        <v>351.50000000000006</v>
      </c>
      <c r="AG37" s="3">
        <f t="shared" si="27"/>
        <v>351.50000000000006</v>
      </c>
      <c r="AH37" s="3">
        <f t="shared" si="15"/>
        <v>34.970619027148395</v>
      </c>
      <c r="AI37" s="3">
        <f t="shared" si="16"/>
        <v>34.399853609884524</v>
      </c>
      <c r="AJ37" s="3">
        <f t="shared" si="17"/>
        <v>6.1523576220238283</v>
      </c>
    </row>
    <row r="38" spans="1:36" s="3" customFormat="1" x14ac:dyDescent="0.2">
      <c r="A38" s="3">
        <f t="shared" si="30"/>
        <v>0.80000000000000016</v>
      </c>
      <c r="B38" s="3">
        <f t="shared" si="28"/>
        <v>353.60000000000008</v>
      </c>
      <c r="C38" s="3">
        <f t="shared" si="29"/>
        <v>373.60000000000008</v>
      </c>
      <c r="D38" s="3">
        <f t="shared" si="0"/>
        <v>13.162117607104719</v>
      </c>
      <c r="E38" s="3">
        <f t="shared" si="1"/>
        <v>12.839265962324081</v>
      </c>
      <c r="F38" s="3">
        <f t="shared" si="2"/>
        <v>43.519758126844536</v>
      </c>
      <c r="G38" s="6"/>
      <c r="H38" s="3">
        <f t="shared" si="18"/>
        <v>358.85968383668643</v>
      </c>
      <c r="I38" s="3">
        <f t="shared" si="19"/>
        <v>373.60000000000008</v>
      </c>
      <c r="J38" s="3">
        <f t="shared" si="3"/>
        <v>21.548035341021148</v>
      </c>
      <c r="K38" s="3">
        <f t="shared" si="4"/>
        <v>20.50482583290319</v>
      </c>
      <c r="L38" s="3">
        <f t="shared" si="5"/>
        <v>36.503335597547697</v>
      </c>
      <c r="N38" s="3">
        <f t="shared" si="20"/>
        <v>362.37009300976314</v>
      </c>
      <c r="O38" s="3">
        <f t="shared" si="21"/>
        <v>373.60000000000008</v>
      </c>
      <c r="P38" s="3">
        <f t="shared" si="6"/>
        <v>26.03178980132833</v>
      </c>
      <c r="Q38" s="3">
        <f t="shared" si="7"/>
        <v>24.993500513564527</v>
      </c>
      <c r="R38" s="3">
        <f t="shared" si="8"/>
        <v>29.990824052733714</v>
      </c>
      <c r="T38" s="3">
        <f t="shared" si="22"/>
        <v>365.50038971059269</v>
      </c>
      <c r="U38" s="3">
        <f t="shared" si="23"/>
        <v>373.60000000000008</v>
      </c>
      <c r="V38" s="3">
        <f t="shared" si="9"/>
        <v>29.114943908795993</v>
      </c>
      <c r="W38" s="3">
        <f t="shared" si="10"/>
        <v>28.27253422415852</v>
      </c>
      <c r="X38" s="3">
        <f t="shared" si="11"/>
        <v>23.287456172853364</v>
      </c>
      <c r="Z38" s="3">
        <f t="shared" si="24"/>
        <v>368.74948228873984</v>
      </c>
      <c r="AA38" s="3">
        <f t="shared" si="25"/>
        <v>373.60000000000008</v>
      </c>
      <c r="AB38" s="3">
        <f t="shared" si="12"/>
        <v>30.748565411168812</v>
      </c>
      <c r="AC38" s="3">
        <f t="shared" si="13"/>
        <v>30.03032437030356</v>
      </c>
      <c r="AD38" s="3">
        <f t="shared" si="14"/>
        <v>16.326985042645497</v>
      </c>
      <c r="AF38" s="3">
        <f t="shared" si="26"/>
        <v>373.60000000000008</v>
      </c>
      <c r="AG38" s="3">
        <f t="shared" si="27"/>
        <v>373.60000000000008</v>
      </c>
      <c r="AH38" s="3">
        <f t="shared" si="15"/>
        <v>29.797538374563068</v>
      </c>
      <c r="AI38" s="3">
        <f t="shared" si="16"/>
        <v>29.306832529621822</v>
      </c>
      <c r="AJ38" s="3">
        <f t="shared" si="17"/>
        <v>5.2166101125708337</v>
      </c>
    </row>
    <row r="39" spans="1:36" s="3" customFormat="1" x14ac:dyDescent="0.2">
      <c r="A39" s="3">
        <f t="shared" si="30"/>
        <v>0.8500000000000002</v>
      </c>
      <c r="B39" s="3">
        <f t="shared" si="28"/>
        <v>375.7000000000001</v>
      </c>
      <c r="C39" s="3">
        <f t="shared" si="29"/>
        <v>395.7000000000001</v>
      </c>
      <c r="D39" s="3">
        <f t="shared" si="0"/>
        <v>10.500331410112594</v>
      </c>
      <c r="E39" s="3">
        <f t="shared" si="1"/>
        <v>10.242215780459848</v>
      </c>
      <c r="F39" s="3">
        <f t="shared" si="2"/>
        <v>42.93455185178631</v>
      </c>
      <c r="G39" s="6"/>
      <c r="H39" s="3">
        <f t="shared" si="18"/>
        <v>380.95968383668645</v>
      </c>
      <c r="I39" s="3">
        <f t="shared" si="19"/>
        <v>395.7000000000001</v>
      </c>
      <c r="J39" s="3">
        <f t="shared" si="3"/>
        <v>17.478708759530775</v>
      </c>
      <c r="K39" s="3">
        <f t="shared" si="4"/>
        <v>16.628406833453266</v>
      </c>
      <c r="L39" s="3">
        <f t="shared" si="5"/>
        <v>35.253506881606221</v>
      </c>
      <c r="N39" s="3">
        <f t="shared" si="20"/>
        <v>384.47009300976316</v>
      </c>
      <c r="O39" s="3">
        <f t="shared" si="21"/>
        <v>395.7000000000001</v>
      </c>
      <c r="P39" s="3">
        <f t="shared" si="6"/>
        <v>21.110429106747631</v>
      </c>
      <c r="Q39" s="3">
        <f t="shared" si="7"/>
        <v>20.262451746893362</v>
      </c>
      <c r="R39" s="3">
        <f t="shared" si="8"/>
        <v>28.617385897871699</v>
      </c>
      <c r="T39" s="3">
        <f t="shared" si="22"/>
        <v>387.60038971059271</v>
      </c>
      <c r="U39" s="3">
        <f t="shared" si="23"/>
        <v>395.7000000000001</v>
      </c>
      <c r="V39" s="3">
        <f t="shared" si="9"/>
        <v>23.629837463077678</v>
      </c>
      <c r="W39" s="3">
        <f t="shared" si="10"/>
        <v>22.940057898071316</v>
      </c>
      <c r="X39" s="3">
        <f t="shared" si="11"/>
        <v>21.981887681235332</v>
      </c>
      <c r="Z39" s="3">
        <f t="shared" si="24"/>
        <v>390.84948228873986</v>
      </c>
      <c r="AA39" s="3">
        <f t="shared" si="25"/>
        <v>395.7000000000001</v>
      </c>
      <c r="AB39" s="3">
        <f t="shared" si="12"/>
        <v>24.95569683977331</v>
      </c>
      <c r="AC39" s="3">
        <f t="shared" si="13"/>
        <v>24.367002675558751</v>
      </c>
      <c r="AD39" s="3">
        <f t="shared" si="14"/>
        <v>15.087746874718102</v>
      </c>
      <c r="AF39" s="3">
        <f t="shared" si="26"/>
        <v>395.7000000000001</v>
      </c>
      <c r="AG39" s="3">
        <f t="shared" si="27"/>
        <v>395.7000000000001</v>
      </c>
      <c r="AH39" s="3">
        <f t="shared" si="15"/>
        <v>23.698275730598006</v>
      </c>
      <c r="AI39" s="3">
        <f t="shared" si="16"/>
        <v>23.303832640663352</v>
      </c>
      <c r="AJ39" s="3">
        <f t="shared" si="17"/>
        <v>4.1239888894911019</v>
      </c>
    </row>
    <row r="40" spans="1:36" s="3" customFormat="1" x14ac:dyDescent="0.2">
      <c r="A40" s="3">
        <f t="shared" si="30"/>
        <v>0.90000000000000024</v>
      </c>
      <c r="B40" s="3">
        <f t="shared" si="28"/>
        <v>397.80000000000013</v>
      </c>
      <c r="C40" s="3">
        <f t="shared" si="29"/>
        <v>417.80000000000013</v>
      </c>
      <c r="D40" s="3">
        <f t="shared" si="0"/>
        <v>7.4216306120091389</v>
      </c>
      <c r="E40" s="3">
        <f t="shared" si="1"/>
        <v>7.238739145198398</v>
      </c>
      <c r="F40" s="3">
        <f t="shared" si="2"/>
        <v>42.259235383765954</v>
      </c>
      <c r="G40" s="6"/>
      <c r="H40" s="3">
        <f t="shared" si="18"/>
        <v>403.05968383668647</v>
      </c>
      <c r="I40" s="3">
        <f t="shared" si="19"/>
        <v>417.80000000000013</v>
      </c>
      <c r="J40" s="3">
        <f t="shared" si="3"/>
        <v>12.75848464606355</v>
      </c>
      <c r="K40" s="3">
        <f t="shared" si="4"/>
        <v>12.134303099104965</v>
      </c>
      <c r="L40" s="3">
        <f t="shared" si="5"/>
        <v>33.811148040092824</v>
      </c>
      <c r="N40" s="3">
        <f t="shared" si="20"/>
        <v>406.57009300976318</v>
      </c>
      <c r="O40" s="3">
        <f t="shared" si="21"/>
        <v>417.80000000000013</v>
      </c>
      <c r="P40" s="3">
        <f t="shared" si="6"/>
        <v>15.397356001541254</v>
      </c>
      <c r="Q40" s="3">
        <f t="shared" si="7"/>
        <v>14.773726114608849</v>
      </c>
      <c r="R40" s="3">
        <f t="shared" si="8"/>
        <v>27.034940686453282</v>
      </c>
      <c r="T40" s="3">
        <f t="shared" si="22"/>
        <v>409.70038971059273</v>
      </c>
      <c r="U40" s="3">
        <f t="shared" si="23"/>
        <v>417.80000000000013</v>
      </c>
      <c r="V40" s="3">
        <f t="shared" si="9"/>
        <v>17.258896837850756</v>
      </c>
      <c r="W40" s="3">
        <f t="shared" si="10"/>
        <v>16.749838942291333</v>
      </c>
      <c r="X40" s="3">
        <f t="shared" si="11"/>
        <v>20.479761191290219</v>
      </c>
      <c r="Z40" s="3">
        <f t="shared" si="24"/>
        <v>412.94948228873989</v>
      </c>
      <c r="AA40" s="3">
        <f t="shared" si="25"/>
        <v>417.80000000000013</v>
      </c>
      <c r="AB40" s="3">
        <f t="shared" si="12"/>
        <v>18.229866275940282</v>
      </c>
      <c r="AC40" s="3">
        <f t="shared" si="13"/>
        <v>17.794836717653766</v>
      </c>
      <c r="AD40" s="3">
        <f t="shared" si="14"/>
        <v>13.664050112686761</v>
      </c>
      <c r="AF40" s="3">
        <f t="shared" si="26"/>
        <v>417.80000000000013</v>
      </c>
      <c r="AG40" s="3">
        <f t="shared" si="27"/>
        <v>417.80000000000013</v>
      </c>
      <c r="AH40" s="3">
        <f t="shared" si="15"/>
        <v>16.641946714900122</v>
      </c>
      <c r="AI40" s="3">
        <f t="shared" si="16"/>
        <v>16.36147716371044</v>
      </c>
      <c r="AJ40" s="3">
        <f t="shared" si="17"/>
        <v>2.8743290174365939</v>
      </c>
    </row>
    <row r="41" spans="1:36" s="3" customFormat="1" x14ac:dyDescent="0.2"/>
    <row r="42" spans="1:36" s="3" customFormat="1" x14ac:dyDescent="0.2"/>
    <row r="43" spans="1:3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36" x14ac:dyDescent="0.2">
      <c r="A44" s="3"/>
      <c r="B44" s="3"/>
      <c r="C44" s="3"/>
    </row>
    <row r="45" spans="1:36" x14ac:dyDescent="0.2">
      <c r="B45" s="3"/>
      <c r="C45" s="3"/>
    </row>
    <row r="46" spans="1:36" x14ac:dyDescent="0.2">
      <c r="A46" s="3"/>
      <c r="B46" s="3"/>
      <c r="C46" s="3"/>
    </row>
    <row r="47" spans="1:36" x14ac:dyDescent="0.2">
      <c r="B47" s="36" t="s">
        <v>85</v>
      </c>
    </row>
    <row r="48" spans="1:36" x14ac:dyDescent="0.2">
      <c r="C48" s="41" t="s">
        <v>60</v>
      </c>
      <c r="D48" s="41"/>
      <c r="E48" s="41" t="s">
        <v>61</v>
      </c>
      <c r="F48" s="41"/>
      <c r="G48" s="41" t="s">
        <v>62</v>
      </c>
      <c r="H48" s="41"/>
      <c r="I48" s="41" t="s">
        <v>63</v>
      </c>
      <c r="J48" s="41"/>
      <c r="K48" s="41" t="s">
        <v>64</v>
      </c>
      <c r="L48" s="41"/>
      <c r="M48" s="41" t="s">
        <v>65</v>
      </c>
      <c r="N48" s="41"/>
    </row>
    <row r="49" spans="1:17" ht="16.2" x14ac:dyDescent="0.3">
      <c r="C49" s="35" t="s">
        <v>59</v>
      </c>
      <c r="D49" s="34" t="s">
        <v>57</v>
      </c>
      <c r="E49" s="34" t="s">
        <v>58</v>
      </c>
      <c r="F49" s="34" t="s">
        <v>57</v>
      </c>
      <c r="G49" s="34" t="s">
        <v>58</v>
      </c>
      <c r="H49" s="34" t="s">
        <v>57</v>
      </c>
      <c r="I49" s="34" t="s">
        <v>58</v>
      </c>
      <c r="J49" s="34" t="s">
        <v>57</v>
      </c>
      <c r="K49" s="34" t="s">
        <v>58</v>
      </c>
      <c r="L49" s="34" t="s">
        <v>57</v>
      </c>
      <c r="M49" s="34" t="s">
        <v>58</v>
      </c>
      <c r="N49" s="34" t="s">
        <v>57</v>
      </c>
      <c r="O49" s="34" t="s">
        <v>58</v>
      </c>
    </row>
    <row r="50" spans="1:17" x14ac:dyDescent="0.2">
      <c r="C50" s="1">
        <v>0</v>
      </c>
      <c r="D50" s="6">
        <f>E22</f>
        <v>-5.3290705182007514E-14</v>
      </c>
      <c r="E50" s="6">
        <f>F22</f>
        <v>40.638132703237389</v>
      </c>
      <c r="F50" s="6">
        <f>K22</f>
        <v>0</v>
      </c>
      <c r="G50" s="6">
        <f>L22</f>
        <v>29.952322443853312</v>
      </c>
      <c r="H50" s="6">
        <f>Q22</f>
        <v>0</v>
      </c>
      <c r="I50" s="6">
        <f>R22</f>
        <v>22.834162346468801</v>
      </c>
      <c r="J50" s="6">
        <f>W22</f>
        <v>0</v>
      </c>
      <c r="K50" s="6">
        <f>X22</f>
        <v>16.487856166291078</v>
      </c>
      <c r="L50" s="6">
        <f>AC22</f>
        <v>0</v>
      </c>
      <c r="M50" s="6">
        <f>AD22</f>
        <v>9.8871482147279099</v>
      </c>
      <c r="N50" s="6">
        <f>AI22</f>
        <v>0</v>
      </c>
      <c r="O50" s="6">
        <f>AJ22</f>
        <v>-1.1597968848036544E-2</v>
      </c>
    </row>
    <row r="51" spans="1:17" x14ac:dyDescent="0.2">
      <c r="A51" s="33">
        <f>C23</f>
        <v>42.1</v>
      </c>
      <c r="B51" s="33"/>
      <c r="C51" s="37">
        <f>A51+B51</f>
        <v>42.1</v>
      </c>
      <c r="D51" s="37">
        <f>E23</f>
        <v>3.8258212531440599</v>
      </c>
      <c r="E51" s="37">
        <f>F23</f>
        <v>41.493775059817963</v>
      </c>
      <c r="F51" s="37">
        <f>K23</f>
        <v>7.2012205507387641</v>
      </c>
      <c r="G51" s="37">
        <f>L23</f>
        <v>32.236102396964974</v>
      </c>
      <c r="H51" s="37">
        <f>Q23</f>
        <v>9.8601132261283055</v>
      </c>
      <c r="I51" s="37">
        <f>R23</f>
        <v>25.628300578540674</v>
      </c>
      <c r="J51" s="37">
        <f>W23</f>
        <v>12.193638984772363</v>
      </c>
      <c r="K51" s="37">
        <f>X23</f>
        <v>19.383392312485068</v>
      </c>
      <c r="L51" s="37">
        <f>AC23</f>
        <v>14.072877478949863</v>
      </c>
      <c r="M51" s="37">
        <f>AD23</f>
        <v>12.864656249270917</v>
      </c>
      <c r="N51" s="37">
        <f>AI23</f>
        <v>16.04147409972051</v>
      </c>
      <c r="O51" s="37">
        <f>AJ23</f>
        <v>2.8170874547959102</v>
      </c>
    </row>
    <row r="52" spans="1:17" x14ac:dyDescent="0.2">
      <c r="A52" s="33">
        <f t="shared" ref="A52:A67" si="31">C24</f>
        <v>64.2</v>
      </c>
      <c r="B52" s="33"/>
      <c r="C52" s="37">
        <f t="shared" ref="C52:C67" si="32">A52+B52</f>
        <v>64.2</v>
      </c>
      <c r="D52" s="6">
        <f t="shared" ref="D52:E52" si="33">E24</f>
        <v>7.238739145198398</v>
      </c>
      <c r="E52" s="6">
        <f t="shared" si="33"/>
        <v>42.259235383765954</v>
      </c>
      <c r="F52" s="6">
        <f t="shared" ref="F52:G52" si="34">K24</f>
        <v>12.301242312968395</v>
      </c>
      <c r="G52" s="6">
        <f t="shared" si="34"/>
        <v>33.864598990330954</v>
      </c>
      <c r="H52" s="6">
        <f t="shared" ref="H52:I52" si="35">Q24</f>
        <v>15.964024440507956</v>
      </c>
      <c r="I52" s="6">
        <f t="shared" si="35"/>
        <v>27.377113803220581</v>
      </c>
      <c r="J52" s="6">
        <f t="shared" ref="J52:K52" si="36">W24</f>
        <v>18.962843666118331</v>
      </c>
      <c r="K52" s="6">
        <f t="shared" si="36"/>
        <v>21.015111062727794</v>
      </c>
      <c r="L52" s="6">
        <f t="shared" ref="L52:M52" si="37">AC24</f>
        <v>21.121671636705628</v>
      </c>
      <c r="M52" s="6">
        <f t="shared" si="37"/>
        <v>14.382789812773405</v>
      </c>
      <c r="N52" s="6">
        <f t="shared" ref="N52:O52" si="38">AI24</f>
        <v>23.024958912442791</v>
      </c>
      <c r="O52" s="6">
        <f t="shared" si="38"/>
        <v>4.0735019201079012</v>
      </c>
    </row>
    <row r="53" spans="1:17" x14ac:dyDescent="0.2">
      <c r="A53" s="33">
        <f t="shared" si="31"/>
        <v>86.300000000000011</v>
      </c>
      <c r="B53" s="33"/>
      <c r="C53" s="37">
        <f t="shared" si="32"/>
        <v>86.300000000000011</v>
      </c>
      <c r="D53" s="37">
        <f t="shared" ref="D53:E53" si="39">E25</f>
        <v>10.242215780459848</v>
      </c>
      <c r="E53" s="37">
        <f t="shared" si="39"/>
        <v>42.93455185178631</v>
      </c>
      <c r="F53" s="37">
        <f t="shared" ref="F53:G53" si="40">K25</f>
        <v>16.773679325937575</v>
      </c>
      <c r="G53" s="37">
        <f t="shared" si="40"/>
        <v>35.300250031705467</v>
      </c>
      <c r="H53" s="37">
        <f t="shared" ref="H53:I53" si="41">Q25</f>
        <v>21.295673711092718</v>
      </c>
      <c r="I53" s="37">
        <f t="shared" si="41"/>
        <v>28.916588286271562</v>
      </c>
      <c r="J53" s="37">
        <f t="shared" ref="J53:K53" si="42">W25</f>
        <v>24.857233863231002</v>
      </c>
      <c r="K53" s="37">
        <f t="shared" si="42"/>
        <v>22.450043119014264</v>
      </c>
      <c r="L53" s="37">
        <f t="shared" ref="L53:M53" si="43">AC25</f>
        <v>27.246134880835939</v>
      </c>
      <c r="M53" s="37">
        <f t="shared" si="43"/>
        <v>15.716317897388814</v>
      </c>
      <c r="N53" s="37">
        <f t="shared" ref="N53:O53" si="44">AI25</f>
        <v>29.067692818134439</v>
      </c>
      <c r="O53" s="37">
        <f t="shared" si="44"/>
        <v>5.1728701096558325</v>
      </c>
    </row>
    <row r="54" spans="1:17" x14ac:dyDescent="0.2">
      <c r="A54" s="33">
        <f t="shared" si="31"/>
        <v>108.4</v>
      </c>
      <c r="B54" s="33">
        <v>1.25</v>
      </c>
      <c r="C54" s="37">
        <f t="shared" si="32"/>
        <v>109.65</v>
      </c>
      <c r="D54" s="6">
        <f t="shared" ref="D54:E54" si="45">E26</f>
        <v>12.839265962324081</v>
      </c>
      <c r="E54" s="6">
        <f t="shared" si="45"/>
        <v>43.519758126844536</v>
      </c>
      <c r="F54" s="6">
        <f t="shared" ref="F54:G54" si="46">K26</f>
        <v>20.628760342078419</v>
      </c>
      <c r="G54" s="6">
        <f t="shared" si="46"/>
        <v>36.543381551089873</v>
      </c>
      <c r="H54" s="6">
        <f t="shared" ref="H54:I54" si="47">Q26</f>
        <v>25.873097051111699</v>
      </c>
      <c r="I54" s="6">
        <f t="shared" si="47"/>
        <v>30.247135623311678</v>
      </c>
      <c r="J54" s="6">
        <f t="shared" ref="J54:K54" si="48">W26</f>
        <v>29.901951972851251</v>
      </c>
      <c r="K54" s="6">
        <f t="shared" si="48"/>
        <v>23.688527794026651</v>
      </c>
      <c r="L54" s="6">
        <f t="shared" ref="L54:M54" si="49">AC26</f>
        <v>32.475204234343892</v>
      </c>
      <c r="M54" s="6">
        <f t="shared" si="49"/>
        <v>16.865518225498413</v>
      </c>
      <c r="N54" s="6">
        <f t="shared" ref="N54:O54" si="50">AI26</f>
        <v>34.199301290857413</v>
      </c>
      <c r="O54" s="6">
        <f t="shared" si="50"/>
        <v>6.115357987295738</v>
      </c>
    </row>
    <row r="55" spans="1:17" x14ac:dyDescent="0.2">
      <c r="A55" s="33">
        <f t="shared" si="31"/>
        <v>130.5</v>
      </c>
      <c r="B55" s="33">
        <f>B54+2.5</f>
        <v>3.75</v>
      </c>
      <c r="C55" s="37">
        <f t="shared" si="32"/>
        <v>134.25</v>
      </c>
      <c r="D55" s="37">
        <f t="shared" ref="D55:E55" si="51">E27</f>
        <v>15.032472710356561</v>
      </c>
      <c r="E55" s="37">
        <f t="shared" si="51"/>
        <v>44.014883366567702</v>
      </c>
      <c r="F55" s="37">
        <f t="shared" ref="F55:G55" si="52">K27</f>
        <v>23.875124402547169</v>
      </c>
      <c r="G55" s="37">
        <f t="shared" si="52"/>
        <v>37.594275264659949</v>
      </c>
      <c r="H55" s="37">
        <f t="shared" ref="H55:I55" si="53">Q27</f>
        <v>29.711333108496888</v>
      </c>
      <c r="I55" s="37">
        <f t="shared" si="53"/>
        <v>31.369110682017762</v>
      </c>
      <c r="J55" s="37">
        <f t="shared" ref="J55:K55" si="54">W27</f>
        <v>34.1177553949138</v>
      </c>
      <c r="K55" s="37">
        <f t="shared" si="54"/>
        <v>24.730857320337474</v>
      </c>
      <c r="L55" s="37">
        <f t="shared" ref="L55:M55" si="55">AC27</f>
        <v>36.832636197002671</v>
      </c>
      <c r="M55" s="37">
        <f t="shared" si="55"/>
        <v>17.830629684375758</v>
      </c>
      <c r="N55" s="37">
        <f t="shared" ref="N55:O55" si="56">AI27</f>
        <v>38.443972125185375</v>
      </c>
      <c r="O55" s="37">
        <f t="shared" si="56"/>
        <v>6.9011076476353992</v>
      </c>
    </row>
    <row r="56" spans="1:17" x14ac:dyDescent="0.2">
      <c r="A56" s="33">
        <f t="shared" si="31"/>
        <v>152.6</v>
      </c>
      <c r="B56" s="33">
        <f>B55+3.5</f>
        <v>7.25</v>
      </c>
      <c r="C56" s="37">
        <f t="shared" si="32"/>
        <v>159.85</v>
      </c>
      <c r="D56" s="6">
        <f t="shared" ref="D56:E56" si="57">E28</f>
        <v>16.824000355656782</v>
      </c>
      <c r="E56" s="6">
        <f t="shared" si="57"/>
        <v>44.419952230512209</v>
      </c>
      <c r="F56" s="6">
        <f t="shared" ref="F56:G56" si="58">K28</f>
        <v>26.519921753843175</v>
      </c>
      <c r="G56" s="6">
        <f t="shared" si="58"/>
        <v>38.453168895406883</v>
      </c>
      <c r="H56" s="6">
        <f t="shared" ref="H56:I56" si="59">Q28</f>
        <v>32.822684967069449</v>
      </c>
      <c r="I56" s="6">
        <f t="shared" si="59"/>
        <v>32.282812077792059</v>
      </c>
      <c r="J56" s="6">
        <f t="shared" ref="J56:K56" si="60">W28</f>
        <v>37.521474507677411</v>
      </c>
      <c r="K56" s="6">
        <f t="shared" si="60"/>
        <v>25.577277196725628</v>
      </c>
      <c r="L56" s="6">
        <f t="shared" ref="L56:M56" si="61">AC28</f>
        <v>40.337588401195831</v>
      </c>
      <c r="M56" s="6">
        <f t="shared" si="61"/>
        <v>18.611852575434163</v>
      </c>
      <c r="N56" s="6">
        <f t="shared" ref="N56:O56" si="62">AI28</f>
        <v>41.821068564340855</v>
      </c>
      <c r="O56" s="6">
        <f t="shared" si="62"/>
        <v>7.5302374234256604</v>
      </c>
    </row>
    <row r="57" spans="1:17" x14ac:dyDescent="0.2">
      <c r="A57" s="33">
        <f t="shared" si="31"/>
        <v>174.7</v>
      </c>
      <c r="B57" s="33">
        <f>B56+5</f>
        <v>12.25</v>
      </c>
      <c r="C57" s="37">
        <f t="shared" si="32"/>
        <v>186.95</v>
      </c>
      <c r="D57" s="37">
        <f t="shared" ref="D57:E57" si="63">E29</f>
        <v>18.215605372452902</v>
      </c>
      <c r="E57" s="37">
        <f t="shared" si="63"/>
        <v>44.734984886312887</v>
      </c>
      <c r="F57" s="37">
        <f t="shared" ref="F57:G57" si="64">K29</f>
        <v>28.568895045042733</v>
      </c>
      <c r="G57" s="37">
        <f t="shared" si="64"/>
        <v>39.120256442899766</v>
      </c>
      <c r="H57" s="37">
        <f t="shared" ref="H57:I57" si="65">Q29</f>
        <v>35.21692592110378</v>
      </c>
      <c r="I57" s="37">
        <f t="shared" si="65"/>
        <v>32.988482572639313</v>
      </c>
      <c r="J57" s="37">
        <f t="shared" ref="J57:K57" si="66">W29</f>
        <v>40.126366300239354</v>
      </c>
      <c r="K57" s="37">
        <f t="shared" si="66"/>
        <v>26.227986478226523</v>
      </c>
      <c r="L57" s="37">
        <f t="shared" ref="L57:M57" si="67">AC29</f>
        <v>43.005064486180231</v>
      </c>
      <c r="M57" s="37">
        <f t="shared" si="67"/>
        <v>19.209348822662427</v>
      </c>
      <c r="N57" s="37">
        <f t="shared" ref="N57:O57" si="68">AI29</f>
        <v>44.345594846429314</v>
      </c>
      <c r="O57" s="37">
        <f t="shared" si="68"/>
        <v>8.0028419748341548</v>
      </c>
    </row>
    <row r="58" spans="1:17" x14ac:dyDescent="0.2">
      <c r="A58" s="33">
        <f t="shared" si="31"/>
        <v>196.79999999999998</v>
      </c>
      <c r="B58" s="33">
        <f>B57+5</f>
        <v>17.25</v>
      </c>
      <c r="C58" s="37">
        <f t="shared" si="32"/>
        <v>214.04999999999998</v>
      </c>
      <c r="D58" s="6">
        <f t="shared" ref="D58:E58" si="69">E30</f>
        <v>19.20864507426899</v>
      </c>
      <c r="E58" s="6">
        <f t="shared" si="69"/>
        <v>44.959997014704314</v>
      </c>
      <c r="F58" s="6">
        <f t="shared" ref="F58:G58" si="70">K30</f>
        <v>30.026443024744832</v>
      </c>
      <c r="G58" s="6">
        <f t="shared" si="70"/>
        <v>39.595688402880818</v>
      </c>
      <c r="H58" s="6">
        <f t="shared" ref="H58:I58" si="71">Q30</f>
        <v>36.90145760299913</v>
      </c>
      <c r="I58" s="6">
        <f t="shared" si="71"/>
        <v>33.486309398504872</v>
      </c>
      <c r="J58" s="6">
        <f t="shared" ref="J58:K58" si="72">W30</f>
        <v>41.94238190418146</v>
      </c>
      <c r="K58" s="6">
        <f t="shared" si="72"/>
        <v>26.683138010718505</v>
      </c>
      <c r="L58" s="6">
        <f t="shared" ref="L58:M58" si="73">AC30</f>
        <v>44.846247640935189</v>
      </c>
      <c r="M58" s="6">
        <f t="shared" si="73"/>
        <v>19.623242140757206</v>
      </c>
      <c r="N58" s="6">
        <f t="shared" ref="N58:O58" si="74">AI30</f>
        <v>46.028541698540714</v>
      </c>
      <c r="O58" s="6">
        <f t="shared" si="74"/>
        <v>8.3189923607465062</v>
      </c>
    </row>
    <row r="59" spans="1:17" x14ac:dyDescent="0.2">
      <c r="A59" s="33">
        <f t="shared" si="31"/>
        <v>218.89999999999998</v>
      </c>
      <c r="B59" s="33">
        <f>B58+7.75</f>
        <v>25</v>
      </c>
      <c r="C59" s="37">
        <f t="shared" si="32"/>
        <v>243.89999999999998</v>
      </c>
      <c r="D59" s="37">
        <f t="shared" ref="D59:E59" si="75">E31</f>
        <v>19.804084276180394</v>
      </c>
      <c r="E59" s="37">
        <f t="shared" si="75"/>
        <v>45.094999813423456</v>
      </c>
      <c r="F59" s="37">
        <f t="shared" ref="F59:G59" si="76">K31</f>
        <v>30.895668423667427</v>
      </c>
      <c r="G59" s="37">
        <f t="shared" si="76"/>
        <v>39.879571937278591</v>
      </c>
      <c r="H59" s="37">
        <f t="shared" ref="H59:I59" si="77">Q31</f>
        <v>37.881426621420928</v>
      </c>
      <c r="I59" s="37">
        <f t="shared" si="77"/>
        <v>33.776424506081057</v>
      </c>
      <c r="J59" s="37">
        <f t="shared" ref="J59:K59" si="78">W31</f>
        <v>42.976361097219481</v>
      </c>
      <c r="K59" s="37">
        <f t="shared" si="78"/>
        <v>26.942838610693581</v>
      </c>
      <c r="L59" s="37">
        <f t="shared" ref="L59:M59" si="79">AC31</f>
        <v>45.868740814282773</v>
      </c>
      <c r="M59" s="37">
        <f t="shared" si="79"/>
        <v>19.853618163357673</v>
      </c>
      <c r="N59" s="37">
        <f t="shared" ref="N59:O59" si="80">AI31</f>
        <v>46.877131057298463</v>
      </c>
      <c r="O59" s="37">
        <f t="shared" si="80"/>
        <v>8.478736092230065</v>
      </c>
    </row>
    <row r="60" spans="1:17" x14ac:dyDescent="0.2">
      <c r="A60" s="33">
        <f t="shared" si="31"/>
        <v>240.99999999999997</v>
      </c>
      <c r="B60" s="33">
        <f>B59+14</f>
        <v>39</v>
      </c>
      <c r="C60" s="37">
        <f t="shared" si="32"/>
        <v>280</v>
      </c>
      <c r="D60" s="39">
        <f t="shared" ref="D60:E60" si="81">E32</f>
        <v>20.002500000000001</v>
      </c>
      <c r="E60" s="39">
        <f t="shared" si="81"/>
        <v>45.14</v>
      </c>
      <c r="F60" s="39">
        <f t="shared" ref="F60:G60" si="82">K32</f>
        <v>31.178411257876984</v>
      </c>
      <c r="G60" s="39">
        <f t="shared" si="82"/>
        <v>39.971970995088007</v>
      </c>
      <c r="H60" s="39">
        <f t="shared" ref="H60:I60" si="83">Q32</f>
        <v>38.159804090456419</v>
      </c>
      <c r="I60" s="39">
        <f t="shared" si="83"/>
        <v>33.858904739848967</v>
      </c>
      <c r="J60" s="39">
        <f t="shared" ref="J60:K60" si="84">W32</f>
        <v>43.232162877278554</v>
      </c>
      <c r="K60" s="39">
        <f t="shared" si="84"/>
        <v>27.007149190702659</v>
      </c>
      <c r="L60" s="39">
        <f t="shared" ref="L60:M60" si="85">AC32</f>
        <v>46.076725960214162</v>
      </c>
      <c r="M60" s="39">
        <f t="shared" si="85"/>
        <v>19.900524531698515</v>
      </c>
      <c r="N60" s="39">
        <f t="shared" ref="N60:O60" si="86">AI32</f>
        <v>46.894973057424629</v>
      </c>
      <c r="O60" s="39">
        <f t="shared" si="86"/>
        <v>8.4820971682506752</v>
      </c>
      <c r="Q60" s="33"/>
    </row>
    <row r="61" spans="1:17" x14ac:dyDescent="0.2">
      <c r="A61" s="33">
        <f t="shared" si="31"/>
        <v>263.09999999999997</v>
      </c>
      <c r="B61" s="33">
        <f t="shared" ref="B61:B65" si="87">B62-20</f>
        <v>60</v>
      </c>
      <c r="C61" s="37">
        <f t="shared" si="32"/>
        <v>323.09999999999997</v>
      </c>
      <c r="D61" s="37">
        <f t="shared" ref="D61:E61" si="88">E33</f>
        <v>19.804084276180394</v>
      </c>
      <c r="E61" s="37">
        <f t="shared" si="88"/>
        <v>45.094999813423456</v>
      </c>
      <c r="F61" s="37">
        <f t="shared" ref="F61:G61" si="89">K33</f>
        <v>30.875268394977763</v>
      </c>
      <c r="G61" s="37">
        <f t="shared" si="89"/>
        <v>39.872906384431893</v>
      </c>
      <c r="H61" s="37">
        <f t="shared" ref="H61:I61" si="90">Q33</f>
        <v>37.7374309565148</v>
      </c>
      <c r="I61" s="37">
        <f t="shared" si="90"/>
        <v>33.733771939908692</v>
      </c>
      <c r="J61" s="37">
        <f t="shared" ref="J61:K61" si="91">W33</f>
        <v>42.710738018448481</v>
      </c>
      <c r="K61" s="37">
        <f t="shared" si="91"/>
        <v>26.876084830827278</v>
      </c>
      <c r="L61" s="37">
        <f t="shared" ref="L61:M61" si="92">AC33</f>
        <v>45.471050236089354</v>
      </c>
      <c r="M61" s="37">
        <f t="shared" si="92"/>
        <v>19.763970943888175</v>
      </c>
      <c r="N61" s="37">
        <f t="shared" ref="N61:O61" si="93">AI33</f>
        <v>46.08214337963863</v>
      </c>
      <c r="O61" s="37">
        <f t="shared" si="93"/>
        <v>8.329076093704316</v>
      </c>
    </row>
    <row r="62" spans="1:17" x14ac:dyDescent="0.2">
      <c r="A62" s="33">
        <f t="shared" si="31"/>
        <v>285.2</v>
      </c>
      <c r="B62" s="33">
        <f t="shared" si="87"/>
        <v>80</v>
      </c>
      <c r="C62" s="37">
        <f t="shared" si="32"/>
        <v>365.2</v>
      </c>
      <c r="D62" s="6">
        <f t="shared" ref="D62:E62" si="94">E34</f>
        <v>19.20864507426899</v>
      </c>
      <c r="E62" s="6">
        <f t="shared" si="94"/>
        <v>44.959997014704314</v>
      </c>
      <c r="F62" s="6">
        <f t="shared" ref="F62:G62" si="95">K34</f>
        <v>29.985599871710757</v>
      </c>
      <c r="G62" s="6">
        <f t="shared" si="95"/>
        <v>39.582355795998659</v>
      </c>
      <c r="H62" s="6">
        <f t="shared" ref="H62:I62" si="96">Q34</f>
        <v>36.613030750147573</v>
      </c>
      <c r="I62" s="6">
        <f t="shared" si="96"/>
        <v>33.400992970903516</v>
      </c>
      <c r="J62" s="6">
        <f t="shared" ref="J62:K62" si="97">W34</f>
        <v>41.410146824222764</v>
      </c>
      <c r="K62" s="6">
        <f t="shared" si="97"/>
        <v>26.549614796362004</v>
      </c>
      <c r="L62" s="6">
        <f t="shared" ref="L62:M62" si="98">AC34</f>
        <v>44.049243344107936</v>
      </c>
      <c r="M62" s="6">
        <f t="shared" si="98"/>
        <v>19.443929164938758</v>
      </c>
      <c r="N62" s="6">
        <f t="shared" ref="N62:O62" si="99">AI34</f>
        <v>44.435184864106866</v>
      </c>
      <c r="O62" s="6">
        <f t="shared" si="99"/>
        <v>8.0196498797963613</v>
      </c>
    </row>
    <row r="63" spans="1:17" x14ac:dyDescent="0.2">
      <c r="A63" s="33">
        <f t="shared" si="31"/>
        <v>307.3</v>
      </c>
      <c r="B63" s="33">
        <f t="shared" si="87"/>
        <v>100</v>
      </c>
      <c r="C63" s="37">
        <f t="shared" si="32"/>
        <v>407.3</v>
      </c>
      <c r="D63" s="37">
        <f t="shared" ref="D63:E63" si="100">E35</f>
        <v>18.215605372452902</v>
      </c>
      <c r="E63" s="37">
        <f t="shared" si="100"/>
        <v>44.734984886312887</v>
      </c>
      <c r="F63" s="37">
        <f t="shared" ref="F63:G63" si="101">K35</f>
        <v>28.507522119649263</v>
      </c>
      <c r="G63" s="37">
        <f t="shared" si="101"/>
        <v>39.100253777913871</v>
      </c>
      <c r="H63" s="37">
        <f t="shared" ref="H63:I63" si="102">Q35</f>
        <v>34.783190216670732</v>
      </c>
      <c r="I63" s="37">
        <f t="shared" si="102"/>
        <v>32.860479678132705</v>
      </c>
      <c r="J63" s="37">
        <f t="shared" ref="J63:K63" si="103">W35</f>
        <v>39.325522857150375</v>
      </c>
      <c r="K63" s="37">
        <f t="shared" si="103"/>
        <v>26.027662501768429</v>
      </c>
      <c r="L63" s="37">
        <f t="shared" ref="L63:M63" si="104">AC35</f>
        <v>41.805466850903258</v>
      </c>
      <c r="M63" s="37">
        <f t="shared" si="104"/>
        <v>18.940332997565342</v>
      </c>
      <c r="N63" s="37">
        <f t="shared" ref="N63:O63" si="105">AI35</f>
        <v>41.947033470355102</v>
      </c>
      <c r="O63" s="37">
        <f t="shared" si="105"/>
        <v>7.5537720267675468</v>
      </c>
    </row>
    <row r="64" spans="1:17" x14ac:dyDescent="0.2">
      <c r="A64" s="33">
        <f t="shared" si="31"/>
        <v>329.40000000000003</v>
      </c>
      <c r="B64" s="33">
        <f t="shared" si="87"/>
        <v>120</v>
      </c>
      <c r="C64" s="37">
        <f t="shared" si="32"/>
        <v>449.40000000000003</v>
      </c>
      <c r="D64" s="6">
        <f t="shared" ref="D64:E64" si="106">E36</f>
        <v>16.824000355656782</v>
      </c>
      <c r="E64" s="6">
        <f t="shared" si="106"/>
        <v>44.419952230512209</v>
      </c>
      <c r="F64" s="6">
        <f t="shared" ref="F64:G64" si="107">K36</f>
        <v>26.437887930957924</v>
      </c>
      <c r="G64" s="6">
        <f t="shared" si="107"/>
        <v>38.426491661982503</v>
      </c>
      <c r="H64" s="6">
        <f t="shared" ref="H64:I64" si="108">Q36</f>
        <v>32.242307135490364</v>
      </c>
      <c r="I64" s="6">
        <f t="shared" si="108"/>
        <v>32.112088770714635</v>
      </c>
      <c r="J64" s="6">
        <f t="shared" ref="J64:K64" si="109">W36</f>
        <v>36.448981049915304</v>
      </c>
      <c r="K64" s="6">
        <f t="shared" si="109"/>
        <v>25.31010542079208</v>
      </c>
      <c r="L64" s="6">
        <f t="shared" ref="L64:M64" si="110">AC36</f>
        <v>38.730393037693943</v>
      </c>
      <c r="M64" s="6">
        <f t="shared" si="110"/>
        <v>18.253078213688291</v>
      </c>
      <c r="N64" s="6">
        <f t="shared" ref="N64:O64" si="111">AI36</f>
        <v>38.606864846637784</v>
      </c>
      <c r="O64" s="6">
        <f t="shared" si="111"/>
        <v>6.9313724889411787</v>
      </c>
    </row>
    <row r="65" spans="1:15" x14ac:dyDescent="0.2">
      <c r="A65" s="33">
        <f t="shared" si="31"/>
        <v>351.50000000000006</v>
      </c>
      <c r="B65" s="33">
        <f t="shared" si="87"/>
        <v>140</v>
      </c>
      <c r="C65" s="37">
        <f t="shared" si="32"/>
        <v>491.50000000000006</v>
      </c>
      <c r="D65" s="37">
        <f t="shared" ref="D65:E65" si="112">E37</f>
        <v>15.032472710356561</v>
      </c>
      <c r="E65" s="37">
        <f t="shared" si="112"/>
        <v>44.014883366567702</v>
      </c>
      <c r="F65" s="37">
        <f t="shared" ref="F65:G65" si="113">K37</f>
        <v>23.772252663907249</v>
      </c>
      <c r="G65" s="37">
        <f t="shared" si="113"/>
        <v>37.560917441105424</v>
      </c>
      <c r="H65" s="37">
        <f t="shared" ref="H65:I65" si="114">Q37</f>
        <v>28.982503449425508</v>
      </c>
      <c r="I65" s="37">
        <f t="shared" si="114"/>
        <v>31.155621631441463</v>
      </c>
      <c r="J65" s="37">
        <f t="shared" ref="J65:K65" si="115">W37</f>
        <v>32.76946610116552</v>
      </c>
      <c r="K65" s="37">
        <f t="shared" si="115"/>
        <v>24.39677494250169</v>
      </c>
      <c r="L65" s="37">
        <f t="shared" ref="L65:M65" si="116">AC37</f>
        <v>34.811007335739191</v>
      </c>
      <c r="M65" s="37">
        <f t="shared" si="116"/>
        <v>17.382022446473506</v>
      </c>
      <c r="N65" s="37">
        <f t="shared" ref="N65:O65" si="117">AI37</f>
        <v>34.399853609884524</v>
      </c>
      <c r="O65" s="37">
        <f t="shared" si="117"/>
        <v>6.1523576220238283</v>
      </c>
    </row>
    <row r="66" spans="1:15" x14ac:dyDescent="0.2">
      <c r="A66" s="33">
        <f t="shared" si="31"/>
        <v>373.60000000000008</v>
      </c>
      <c r="B66" s="33">
        <f>B67-20</f>
        <v>160</v>
      </c>
      <c r="C66" s="37">
        <f t="shared" si="32"/>
        <v>533.60000000000014</v>
      </c>
      <c r="D66" s="6">
        <f t="shared" ref="D66:E66" si="118">E38</f>
        <v>12.839265962324081</v>
      </c>
      <c r="E66" s="6">
        <f t="shared" si="118"/>
        <v>43.519758126844536</v>
      </c>
      <c r="F66" s="6">
        <f t="shared" ref="F66:G66" si="119">K38</f>
        <v>20.50482583290319</v>
      </c>
      <c r="G66" s="6">
        <f t="shared" si="119"/>
        <v>36.503335597547697</v>
      </c>
      <c r="H66" s="6">
        <f t="shared" ref="H66:I66" si="120">Q38</f>
        <v>24.993500513564527</v>
      </c>
      <c r="I66" s="6">
        <f t="shared" si="120"/>
        <v>29.990824052733714</v>
      </c>
      <c r="J66" s="6">
        <f t="shared" ref="J66:K66" si="121">W38</f>
        <v>28.27253422415852</v>
      </c>
      <c r="K66" s="6">
        <f t="shared" si="121"/>
        <v>23.287456172853364</v>
      </c>
      <c r="L66" s="6">
        <f t="shared" ref="L66:M66" si="122">AC38</f>
        <v>30.03032437030356</v>
      </c>
      <c r="M66" s="6">
        <f t="shared" si="122"/>
        <v>16.326985042645497</v>
      </c>
      <c r="N66" s="6">
        <f t="shared" ref="N66:O66" si="123">AI38</f>
        <v>29.306832529621822</v>
      </c>
      <c r="O66" s="6">
        <f t="shared" si="123"/>
        <v>5.2166101125708337</v>
      </c>
    </row>
    <row r="67" spans="1:15" x14ac:dyDescent="0.2">
      <c r="A67" s="33">
        <f t="shared" si="31"/>
        <v>395.7000000000001</v>
      </c>
      <c r="B67" s="33">
        <v>180</v>
      </c>
      <c r="C67" s="37">
        <f t="shared" si="32"/>
        <v>575.70000000000005</v>
      </c>
      <c r="D67" s="37">
        <f t="shared" ref="D67:E67" si="124">E39</f>
        <v>10.242215780459848</v>
      </c>
      <c r="E67" s="37">
        <f t="shared" si="124"/>
        <v>42.93455185178631</v>
      </c>
      <c r="F67" s="37">
        <f t="shared" ref="F67:G67" si="125">K39</f>
        <v>16.628406833453266</v>
      </c>
      <c r="G67" s="37">
        <f t="shared" si="125"/>
        <v>35.253506881606221</v>
      </c>
      <c r="H67" s="37">
        <f t="shared" ref="H67:I67" si="126">Q39</f>
        <v>20.262451746893362</v>
      </c>
      <c r="I67" s="37">
        <f t="shared" si="126"/>
        <v>28.617385897871699</v>
      </c>
      <c r="J67" s="37">
        <f t="shared" ref="J67:K67" si="127">W39</f>
        <v>22.940057898071316</v>
      </c>
      <c r="K67" s="37">
        <f t="shared" si="127"/>
        <v>21.981887681235332</v>
      </c>
      <c r="L67" s="37">
        <f t="shared" ref="L67:M67" si="128">AC39</f>
        <v>24.367002675558751</v>
      </c>
      <c r="M67" s="37">
        <f t="shared" si="128"/>
        <v>15.087746874718102</v>
      </c>
      <c r="N67" s="37">
        <f t="shared" ref="N67:O67" si="129">AI39</f>
        <v>23.303832640663352</v>
      </c>
      <c r="O67" s="37">
        <f t="shared" si="129"/>
        <v>4.1239888894911019</v>
      </c>
    </row>
    <row r="71" spans="1:15" x14ac:dyDescent="0.2">
      <c r="B71" s="33">
        <f>SUM(B54:B61)</f>
        <v>165.75</v>
      </c>
    </row>
    <row r="72" spans="1:15" x14ac:dyDescent="0.2">
      <c r="B72" s="40">
        <f>SUM(B61:B67)</f>
        <v>840</v>
      </c>
    </row>
  </sheetData>
  <mergeCells count="6">
    <mergeCell ref="M48:N48"/>
    <mergeCell ref="C48:D48"/>
    <mergeCell ref="E48:F48"/>
    <mergeCell ref="G48:H48"/>
    <mergeCell ref="I48:J48"/>
    <mergeCell ref="K48:L48"/>
  </mergeCells>
  <pageMargins left="0.25" right="0.25" top="0.75" bottom="0.75" header="0.3" footer="0.3"/>
  <pageSetup scale="2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zoomScale="106" zoomScaleNormal="106" workbookViewId="0">
      <selection activeCell="B11" sqref="B11"/>
    </sheetView>
  </sheetViews>
  <sheetFormatPr defaultRowHeight="12.6" x14ac:dyDescent="0.2"/>
  <cols>
    <col min="2" max="2" width="14.6328125" bestFit="1" customWidth="1"/>
    <col min="3" max="3" width="6.81640625" bestFit="1" customWidth="1"/>
  </cols>
  <sheetData>
    <row r="1" spans="1:5" s="29" customFormat="1" x14ac:dyDescent="0.2">
      <c r="A1" s="29" t="s">
        <v>56</v>
      </c>
      <c r="B1" s="29" t="s">
        <v>42</v>
      </c>
      <c r="C1" s="29" t="s">
        <v>10</v>
      </c>
    </row>
    <row r="2" spans="1:5" x14ac:dyDescent="0.2">
      <c r="A2">
        <v>0</v>
      </c>
      <c r="B2" s="5">
        <v>0</v>
      </c>
      <c r="C2" s="30">
        <f>'Plan &amp; profile data'!F22</f>
        <v>40.638132703237389</v>
      </c>
      <c r="E2" s="27" t="s">
        <v>66</v>
      </c>
    </row>
    <row r="3" spans="1:5" x14ac:dyDescent="0.2">
      <c r="A3">
        <v>0</v>
      </c>
      <c r="B3" s="5">
        <v>0</v>
      </c>
      <c r="C3" s="30">
        <f>'Plan &amp; profile data'!L22</f>
        <v>29.952322443853312</v>
      </c>
    </row>
    <row r="4" spans="1:5" x14ac:dyDescent="0.2">
      <c r="A4">
        <v>0</v>
      </c>
      <c r="B4" s="5">
        <v>0</v>
      </c>
      <c r="C4" s="30">
        <f>'Plan &amp; profile data'!R22</f>
        <v>22.834162346468801</v>
      </c>
    </row>
    <row r="5" spans="1:5" x14ac:dyDescent="0.2">
      <c r="A5">
        <v>0</v>
      </c>
      <c r="B5" s="5">
        <v>0</v>
      </c>
      <c r="C5" s="30">
        <f>'Plan &amp; profile data'!X22</f>
        <v>16.487856166291078</v>
      </c>
    </row>
    <row r="6" spans="1:5" x14ac:dyDescent="0.2">
      <c r="A6">
        <v>0</v>
      </c>
      <c r="B6" s="5">
        <v>0</v>
      </c>
      <c r="C6" s="30">
        <f>'Plan &amp; profile data'!AD22</f>
        <v>9.8871482147279099</v>
      </c>
    </row>
    <row r="7" spans="1:5" x14ac:dyDescent="0.2">
      <c r="A7">
        <v>0</v>
      </c>
      <c r="B7" s="5">
        <v>0</v>
      </c>
      <c r="C7" s="5">
        <f>'Plan &amp; profile data'!AJ22</f>
        <v>-1.1597968848036544E-2</v>
      </c>
    </row>
    <row r="8" spans="1:5" x14ac:dyDescent="0.2">
      <c r="B8" s="30"/>
      <c r="C8" s="30"/>
    </row>
    <row r="9" spans="1:5" x14ac:dyDescent="0.2">
      <c r="A9" s="27" t="s">
        <v>67</v>
      </c>
      <c r="B9" s="30">
        <f>'Plan &amp; profile data'!E23</f>
        <v>3.8258212531440599</v>
      </c>
      <c r="C9" s="30">
        <f>'Plan &amp; profile data'!F23</f>
        <v>41.493775059817963</v>
      </c>
    </row>
    <row r="10" spans="1:5" x14ac:dyDescent="0.2">
      <c r="B10" s="30">
        <f>'Plan &amp; profile data'!K23</f>
        <v>7.2012205507387641</v>
      </c>
      <c r="C10" s="30">
        <f>'Plan &amp; profile data'!L23</f>
        <v>32.236102396964974</v>
      </c>
    </row>
    <row r="11" spans="1:5" x14ac:dyDescent="0.2">
      <c r="B11" s="30">
        <f>'Plan &amp; profile data'!Q23</f>
        <v>9.8601132261283055</v>
      </c>
      <c r="C11" s="30">
        <f>'Plan &amp; profile data'!R23</f>
        <v>25.628300578540674</v>
      </c>
    </row>
    <row r="12" spans="1:5" x14ac:dyDescent="0.2">
      <c r="B12" s="30">
        <f>'Plan &amp; profile data'!W23</f>
        <v>12.193638984772363</v>
      </c>
      <c r="C12" s="30">
        <f>'Plan &amp; profile data'!X23</f>
        <v>19.383392312485068</v>
      </c>
    </row>
    <row r="13" spans="1:5" x14ac:dyDescent="0.2">
      <c r="B13" s="30">
        <f>'Plan &amp; profile data'!AC23</f>
        <v>14.072877478949863</v>
      </c>
      <c r="C13" s="30">
        <f>'Plan &amp; profile data'!AD23</f>
        <v>12.864656249270917</v>
      </c>
    </row>
    <row r="14" spans="1:5" x14ac:dyDescent="0.2">
      <c r="B14" s="30">
        <f>'Plan &amp; profile data'!AI23</f>
        <v>16.04147409972051</v>
      </c>
      <c r="C14" s="30">
        <f>'Plan &amp; profile data'!AJ23</f>
        <v>2.8170874547959102</v>
      </c>
    </row>
    <row r="15" spans="1:5" x14ac:dyDescent="0.2">
      <c r="B15" s="30"/>
      <c r="C15" s="30"/>
    </row>
    <row r="16" spans="1:5" x14ac:dyDescent="0.2">
      <c r="A16" s="27" t="s">
        <v>68</v>
      </c>
      <c r="B16" s="30">
        <f>'Plan &amp; profile data'!E24</f>
        <v>7.238739145198398</v>
      </c>
      <c r="C16" s="30">
        <f>'Plan &amp; profile data'!F24</f>
        <v>42.259235383765954</v>
      </c>
    </row>
    <row r="17" spans="1:3" x14ac:dyDescent="0.2">
      <c r="B17" s="30">
        <f>'Plan &amp; profile data'!K24</f>
        <v>12.301242312968395</v>
      </c>
      <c r="C17" s="30">
        <f>'Plan &amp; profile data'!L24</f>
        <v>33.864598990330954</v>
      </c>
    </row>
    <row r="18" spans="1:3" x14ac:dyDescent="0.2">
      <c r="B18" s="30">
        <f>'Plan &amp; profile data'!Q24</f>
        <v>15.964024440507956</v>
      </c>
      <c r="C18" s="30">
        <f>'Plan &amp; profile data'!R24</f>
        <v>27.377113803220581</v>
      </c>
    </row>
    <row r="19" spans="1:3" x14ac:dyDescent="0.2">
      <c r="B19" s="30">
        <f>'Plan &amp; profile data'!W24</f>
        <v>18.962843666118331</v>
      </c>
      <c r="C19" s="30">
        <f>'Plan &amp; profile data'!X24</f>
        <v>21.015111062727794</v>
      </c>
    </row>
    <row r="20" spans="1:3" x14ac:dyDescent="0.2">
      <c r="B20" s="30">
        <f>'Plan &amp; profile data'!AC24</f>
        <v>21.121671636705628</v>
      </c>
      <c r="C20" s="30">
        <f>'Plan &amp; profile data'!AD24</f>
        <v>14.382789812773405</v>
      </c>
    </row>
    <row r="21" spans="1:3" x14ac:dyDescent="0.2">
      <c r="B21" s="30">
        <f>'Plan &amp; profile data'!AI24</f>
        <v>23.024958912442791</v>
      </c>
      <c r="C21" s="30">
        <f>'Plan &amp; profile data'!AJ24</f>
        <v>4.0735019201079012</v>
      </c>
    </row>
    <row r="22" spans="1:3" x14ac:dyDescent="0.2">
      <c r="B22" s="30"/>
      <c r="C22" s="30"/>
    </row>
    <row r="23" spans="1:3" x14ac:dyDescent="0.2">
      <c r="A23" s="27" t="s">
        <v>69</v>
      </c>
      <c r="B23" s="30">
        <f>'Plan &amp; profile data'!E25</f>
        <v>10.242215780459848</v>
      </c>
      <c r="C23" s="30">
        <f>'Plan &amp; profile data'!F25</f>
        <v>42.93455185178631</v>
      </c>
    </row>
    <row r="24" spans="1:3" x14ac:dyDescent="0.2">
      <c r="B24" s="30">
        <f>'Plan &amp; profile data'!K25</f>
        <v>16.773679325937575</v>
      </c>
      <c r="C24" s="30">
        <f>'Plan &amp; profile data'!L25</f>
        <v>35.300250031705467</v>
      </c>
    </row>
    <row r="25" spans="1:3" x14ac:dyDescent="0.2">
      <c r="B25" s="30">
        <f>'Plan &amp; profile data'!Q25</f>
        <v>21.295673711092718</v>
      </c>
      <c r="C25" s="30">
        <f>'Plan &amp; profile data'!R25</f>
        <v>28.916588286271562</v>
      </c>
    </row>
    <row r="26" spans="1:3" x14ac:dyDescent="0.2">
      <c r="B26" s="30">
        <f>'Plan &amp; profile data'!W25</f>
        <v>24.857233863231002</v>
      </c>
      <c r="C26" s="30">
        <f>'Plan &amp; profile data'!X25</f>
        <v>22.450043119014264</v>
      </c>
    </row>
    <row r="27" spans="1:3" x14ac:dyDescent="0.2">
      <c r="B27" s="30">
        <f>'Plan &amp; profile data'!AC25</f>
        <v>27.246134880835939</v>
      </c>
      <c r="C27" s="30">
        <f>'Plan &amp; profile data'!AD25</f>
        <v>15.716317897388814</v>
      </c>
    </row>
    <row r="28" spans="1:3" x14ac:dyDescent="0.2">
      <c r="B28" s="30">
        <f>'Plan &amp; profile data'!AI25</f>
        <v>29.067692818134439</v>
      </c>
      <c r="C28" s="30">
        <f>'Plan &amp; profile data'!AJ25</f>
        <v>5.1728701096558325</v>
      </c>
    </row>
    <row r="29" spans="1:3" x14ac:dyDescent="0.2">
      <c r="B29" s="30"/>
      <c r="C29" s="30"/>
    </row>
    <row r="30" spans="1:3" x14ac:dyDescent="0.2">
      <c r="A30" s="27" t="s">
        <v>70</v>
      </c>
      <c r="B30" s="30">
        <f>'Plan &amp; profile data'!E26</f>
        <v>12.839265962324081</v>
      </c>
      <c r="C30" s="30">
        <f>'Plan &amp; profile data'!F26</f>
        <v>43.519758126844536</v>
      </c>
    </row>
    <row r="31" spans="1:3" x14ac:dyDescent="0.2">
      <c r="B31" s="30">
        <f>'Plan &amp; profile data'!K26</f>
        <v>20.628760342078419</v>
      </c>
      <c r="C31" s="30">
        <f>'Plan &amp; profile data'!L26</f>
        <v>36.543381551089873</v>
      </c>
    </row>
    <row r="32" spans="1:3" x14ac:dyDescent="0.2">
      <c r="B32" s="30">
        <f>'Plan &amp; profile data'!Q26</f>
        <v>25.873097051111699</v>
      </c>
      <c r="C32" s="30">
        <f>'Plan &amp; profile data'!R26</f>
        <v>30.247135623311678</v>
      </c>
    </row>
    <row r="33" spans="1:3" x14ac:dyDescent="0.2">
      <c r="B33" s="30">
        <f>'Plan &amp; profile data'!W26</f>
        <v>29.901951972851251</v>
      </c>
      <c r="C33" s="30">
        <f>'Plan &amp; profile data'!X26</f>
        <v>23.688527794026651</v>
      </c>
    </row>
    <row r="34" spans="1:3" x14ac:dyDescent="0.2">
      <c r="B34" s="30">
        <f>'Plan &amp; profile data'!AC26</f>
        <v>32.475204234343892</v>
      </c>
      <c r="C34" s="30">
        <f>'Plan &amp; profile data'!AD26</f>
        <v>16.865518225498413</v>
      </c>
    </row>
    <row r="35" spans="1:3" x14ac:dyDescent="0.2">
      <c r="B35" s="30">
        <f>'Plan &amp; profile data'!AI26</f>
        <v>34.199301290857413</v>
      </c>
      <c r="C35" s="30">
        <f>'Plan &amp; profile data'!AJ26</f>
        <v>6.115357987295738</v>
      </c>
    </row>
    <row r="36" spans="1:3" x14ac:dyDescent="0.2">
      <c r="B36" s="30"/>
      <c r="C36" s="30"/>
    </row>
    <row r="37" spans="1:3" x14ac:dyDescent="0.2">
      <c r="A37" s="27" t="s">
        <v>71</v>
      </c>
      <c r="B37" s="30">
        <f>'Plan &amp; profile data'!E27</f>
        <v>15.032472710356561</v>
      </c>
      <c r="C37" s="30">
        <f>'Plan &amp; profile data'!F27</f>
        <v>44.014883366567702</v>
      </c>
    </row>
    <row r="38" spans="1:3" x14ac:dyDescent="0.2">
      <c r="B38" s="30">
        <f>'Plan &amp; profile data'!K27</f>
        <v>23.875124402547169</v>
      </c>
      <c r="C38" s="30">
        <f>'Plan &amp; profile data'!L27</f>
        <v>37.594275264659949</v>
      </c>
    </row>
    <row r="39" spans="1:3" x14ac:dyDescent="0.2">
      <c r="B39" s="30">
        <f>'Plan &amp; profile data'!Q27</f>
        <v>29.711333108496888</v>
      </c>
      <c r="C39" s="30">
        <f>'Plan &amp; profile data'!R27</f>
        <v>31.369110682017762</v>
      </c>
    </row>
    <row r="40" spans="1:3" x14ac:dyDescent="0.2">
      <c r="B40" s="30">
        <f>'Plan &amp; profile data'!W27</f>
        <v>34.1177553949138</v>
      </c>
      <c r="C40" s="30">
        <f>'Plan &amp; profile data'!X27</f>
        <v>24.730857320337474</v>
      </c>
    </row>
    <row r="41" spans="1:3" x14ac:dyDescent="0.2">
      <c r="B41" s="30">
        <f>'Plan &amp; profile data'!AC27</f>
        <v>36.832636197002671</v>
      </c>
      <c r="C41" s="30">
        <f>'Plan &amp; profile data'!AD27</f>
        <v>17.830629684375758</v>
      </c>
    </row>
    <row r="42" spans="1:3" x14ac:dyDescent="0.2">
      <c r="B42" s="30">
        <f>'Plan &amp; profile data'!AI27</f>
        <v>38.443972125185375</v>
      </c>
      <c r="C42" s="30">
        <f>'Plan &amp; profile data'!AJ27</f>
        <v>6.9011076476353992</v>
      </c>
    </row>
    <row r="43" spans="1:3" x14ac:dyDescent="0.2">
      <c r="B43" s="30"/>
      <c r="C43" s="30"/>
    </row>
    <row r="44" spans="1:3" x14ac:dyDescent="0.2">
      <c r="A44" s="27" t="s">
        <v>72</v>
      </c>
      <c r="B44" s="30">
        <f>'Plan &amp; profile data'!E28</f>
        <v>16.824000355656782</v>
      </c>
      <c r="C44" s="30">
        <f>'Plan &amp; profile data'!F28</f>
        <v>44.419952230512209</v>
      </c>
    </row>
    <row r="45" spans="1:3" x14ac:dyDescent="0.2">
      <c r="B45" s="30">
        <f>'Plan &amp; profile data'!K28</f>
        <v>26.519921753843175</v>
      </c>
      <c r="C45" s="30">
        <f>'Plan &amp; profile data'!L28</f>
        <v>38.453168895406883</v>
      </c>
    </row>
    <row r="46" spans="1:3" x14ac:dyDescent="0.2">
      <c r="B46" s="30">
        <f>'Plan &amp; profile data'!Q28</f>
        <v>32.822684967069449</v>
      </c>
      <c r="C46" s="30">
        <f>'Plan &amp; profile data'!R28</f>
        <v>32.282812077792059</v>
      </c>
    </row>
    <row r="47" spans="1:3" x14ac:dyDescent="0.2">
      <c r="B47" s="30">
        <f>'Plan &amp; profile data'!W28</f>
        <v>37.521474507677411</v>
      </c>
      <c r="C47" s="30">
        <f>'Plan &amp; profile data'!X28</f>
        <v>25.577277196725628</v>
      </c>
    </row>
    <row r="48" spans="1:3" x14ac:dyDescent="0.2">
      <c r="B48" s="30">
        <f>'Plan &amp; profile data'!AC28</f>
        <v>40.337588401195831</v>
      </c>
      <c r="C48" s="30">
        <f>'Plan &amp; profile data'!AD28</f>
        <v>18.611852575434163</v>
      </c>
    </row>
    <row r="49" spans="1:3" x14ac:dyDescent="0.2">
      <c r="B49" s="30">
        <f>'Plan &amp; profile data'!AI28</f>
        <v>41.821068564340855</v>
      </c>
      <c r="C49" s="30">
        <f>'Plan &amp; profile data'!AJ28</f>
        <v>7.5302374234256604</v>
      </c>
    </row>
    <row r="50" spans="1:3" x14ac:dyDescent="0.2">
      <c r="B50" s="30"/>
      <c r="C50" s="30"/>
    </row>
    <row r="51" spans="1:3" x14ac:dyDescent="0.2">
      <c r="A51" s="27" t="s">
        <v>73</v>
      </c>
      <c r="B51" s="30">
        <f>'Plan &amp; profile data'!E29</f>
        <v>18.215605372452902</v>
      </c>
      <c r="C51" s="30">
        <f>'Plan &amp; profile data'!F29</f>
        <v>44.734984886312887</v>
      </c>
    </row>
    <row r="52" spans="1:3" x14ac:dyDescent="0.2">
      <c r="B52" s="30">
        <f>'Plan &amp; profile data'!K29</f>
        <v>28.568895045042733</v>
      </c>
      <c r="C52" s="30">
        <f>'Plan &amp; profile data'!L29</f>
        <v>39.120256442899766</v>
      </c>
    </row>
    <row r="53" spans="1:3" x14ac:dyDescent="0.2">
      <c r="B53" s="30">
        <f>'Plan &amp; profile data'!Q29</f>
        <v>35.21692592110378</v>
      </c>
      <c r="C53" s="30">
        <f>'Plan &amp; profile data'!R29</f>
        <v>32.988482572639313</v>
      </c>
    </row>
    <row r="54" spans="1:3" x14ac:dyDescent="0.2">
      <c r="B54" s="30">
        <f>'Plan &amp; profile data'!W29</f>
        <v>40.126366300239354</v>
      </c>
      <c r="C54" s="30">
        <f>'Plan &amp; profile data'!X29</f>
        <v>26.227986478226523</v>
      </c>
    </row>
    <row r="55" spans="1:3" x14ac:dyDescent="0.2">
      <c r="B55" s="30">
        <f>'Plan &amp; profile data'!AC29</f>
        <v>43.005064486180231</v>
      </c>
      <c r="C55" s="30">
        <f>'Plan &amp; profile data'!AD29</f>
        <v>19.209348822662427</v>
      </c>
    </row>
    <row r="56" spans="1:3" x14ac:dyDescent="0.2">
      <c r="B56" s="30">
        <f>'Plan &amp; profile data'!AI29</f>
        <v>44.345594846429314</v>
      </c>
      <c r="C56" s="30">
        <f>'Plan &amp; profile data'!AJ29</f>
        <v>8.0028419748341548</v>
      </c>
    </row>
    <row r="57" spans="1:3" x14ac:dyDescent="0.2">
      <c r="B57" s="30"/>
      <c r="C57" s="30"/>
    </row>
    <row r="58" spans="1:3" x14ac:dyDescent="0.2">
      <c r="A58" s="27" t="s">
        <v>74</v>
      </c>
      <c r="B58" s="30">
        <f>'Plan &amp; profile data'!E30</f>
        <v>19.20864507426899</v>
      </c>
      <c r="C58" s="30">
        <f>'Plan &amp; profile data'!F30</f>
        <v>44.959997014704314</v>
      </c>
    </row>
    <row r="59" spans="1:3" x14ac:dyDescent="0.2">
      <c r="B59" s="30">
        <f>'Plan &amp; profile data'!K30</f>
        <v>30.026443024744832</v>
      </c>
      <c r="C59" s="30">
        <f>'Plan &amp; profile data'!L30</f>
        <v>39.595688402880818</v>
      </c>
    </row>
    <row r="60" spans="1:3" x14ac:dyDescent="0.2">
      <c r="B60" s="30">
        <f>'Plan &amp; profile data'!Q30</f>
        <v>36.90145760299913</v>
      </c>
      <c r="C60" s="30">
        <f>'Plan &amp; profile data'!R30</f>
        <v>33.486309398504872</v>
      </c>
    </row>
    <row r="61" spans="1:3" x14ac:dyDescent="0.2">
      <c r="B61" s="30">
        <f>'Plan &amp; profile data'!W30</f>
        <v>41.94238190418146</v>
      </c>
      <c r="C61" s="30">
        <f>'Plan &amp; profile data'!X30</f>
        <v>26.683138010718505</v>
      </c>
    </row>
    <row r="62" spans="1:3" x14ac:dyDescent="0.2">
      <c r="B62" s="30">
        <f>'Plan &amp; profile data'!AC30</f>
        <v>44.846247640935189</v>
      </c>
      <c r="C62" s="30">
        <f>'Plan &amp; profile data'!AD30</f>
        <v>19.623242140757206</v>
      </c>
    </row>
    <row r="63" spans="1:3" x14ac:dyDescent="0.2">
      <c r="B63" s="30">
        <f>'Plan &amp; profile data'!AI30</f>
        <v>46.028541698540714</v>
      </c>
      <c r="C63" s="30">
        <f>'Plan &amp; profile data'!AJ30</f>
        <v>8.3189923607465062</v>
      </c>
    </row>
    <row r="64" spans="1:3" x14ac:dyDescent="0.2">
      <c r="B64" s="30"/>
      <c r="C64" s="30"/>
    </row>
    <row r="65" spans="1:3" x14ac:dyDescent="0.2">
      <c r="A65" s="27" t="s">
        <v>75</v>
      </c>
      <c r="B65" s="30">
        <f>'Plan &amp; profile data'!E31</f>
        <v>19.804084276180394</v>
      </c>
      <c r="C65" s="30">
        <f>'Plan &amp; profile data'!F31</f>
        <v>45.094999813423456</v>
      </c>
    </row>
    <row r="66" spans="1:3" x14ac:dyDescent="0.2">
      <c r="B66" s="30">
        <f>'Plan &amp; profile data'!K31</f>
        <v>30.895668423667427</v>
      </c>
      <c r="C66" s="30">
        <f>'Plan &amp; profile data'!L31</f>
        <v>39.879571937278591</v>
      </c>
    </row>
    <row r="67" spans="1:3" x14ac:dyDescent="0.2">
      <c r="B67" s="30">
        <f>'Plan &amp; profile data'!Q31</f>
        <v>37.881426621420928</v>
      </c>
      <c r="C67" s="30">
        <f>'Plan &amp; profile data'!R31</f>
        <v>33.776424506081057</v>
      </c>
    </row>
    <row r="68" spans="1:3" x14ac:dyDescent="0.2">
      <c r="B68" s="30">
        <f>'Plan &amp; profile data'!W31</f>
        <v>42.976361097219481</v>
      </c>
      <c r="C68" s="30">
        <f>'Plan &amp; profile data'!X31</f>
        <v>26.942838610693581</v>
      </c>
    </row>
    <row r="69" spans="1:3" x14ac:dyDescent="0.2">
      <c r="B69" s="30">
        <f>'Plan &amp; profile data'!AC31</f>
        <v>45.868740814282773</v>
      </c>
      <c r="C69" s="30">
        <f>'Plan &amp; profile data'!AD31</f>
        <v>19.853618163357673</v>
      </c>
    </row>
    <row r="70" spans="1:3" x14ac:dyDescent="0.2">
      <c r="B70" s="30">
        <f>'Plan &amp; profile data'!AI31</f>
        <v>46.877131057298463</v>
      </c>
      <c r="C70" s="30">
        <f>'Plan &amp; profile data'!AJ31</f>
        <v>8.478736092230065</v>
      </c>
    </row>
    <row r="71" spans="1:3" x14ac:dyDescent="0.2">
      <c r="B71" s="30"/>
      <c r="C71" s="30"/>
    </row>
    <row r="72" spans="1:3" x14ac:dyDescent="0.2">
      <c r="A72" s="27" t="s">
        <v>76</v>
      </c>
      <c r="B72" s="30">
        <f>'Plan &amp; profile data'!E32</f>
        <v>20.002500000000001</v>
      </c>
      <c r="C72" s="30">
        <f>'Plan &amp; profile data'!F32</f>
        <v>45.14</v>
      </c>
    </row>
    <row r="73" spans="1:3" x14ac:dyDescent="0.2">
      <c r="B73" s="30">
        <f>'Plan &amp; profile data'!K32</f>
        <v>31.178411257876984</v>
      </c>
      <c r="C73" s="30">
        <f>'Plan &amp; profile data'!L32</f>
        <v>39.971970995088007</v>
      </c>
    </row>
    <row r="74" spans="1:3" x14ac:dyDescent="0.2">
      <c r="B74" s="30">
        <f>'Plan &amp; profile data'!Q32</f>
        <v>38.159804090456419</v>
      </c>
      <c r="C74" s="30">
        <f>'Plan &amp; profile data'!R32</f>
        <v>33.858904739848967</v>
      </c>
    </row>
    <row r="75" spans="1:3" x14ac:dyDescent="0.2">
      <c r="B75" s="30">
        <f>'Plan &amp; profile data'!W32</f>
        <v>43.232162877278554</v>
      </c>
      <c r="C75" s="30">
        <f>'Plan &amp; profile data'!X32</f>
        <v>27.007149190702659</v>
      </c>
    </row>
    <row r="76" spans="1:3" x14ac:dyDescent="0.2">
      <c r="B76" s="30">
        <f>'Plan &amp; profile data'!AC32</f>
        <v>46.076725960214162</v>
      </c>
      <c r="C76" s="30">
        <f>'Plan &amp; profile data'!AD32</f>
        <v>19.900524531698515</v>
      </c>
    </row>
    <row r="77" spans="1:3" x14ac:dyDescent="0.2">
      <c r="B77" s="30">
        <f>'Plan &amp; profile data'!AI32</f>
        <v>46.894973057424629</v>
      </c>
      <c r="C77" s="30">
        <f>'Plan &amp; profile data'!AJ32</f>
        <v>8.4820971682506752</v>
      </c>
    </row>
    <row r="78" spans="1:3" x14ac:dyDescent="0.2">
      <c r="B78" s="30"/>
      <c r="C78" s="30"/>
    </row>
    <row r="79" spans="1:3" x14ac:dyDescent="0.2">
      <c r="A79" s="27" t="s">
        <v>77</v>
      </c>
      <c r="B79" s="30">
        <f>'Plan &amp; profile data'!E33</f>
        <v>19.804084276180394</v>
      </c>
      <c r="C79" s="30">
        <f>'Plan &amp; profile data'!F33</f>
        <v>45.094999813423456</v>
      </c>
    </row>
    <row r="80" spans="1:3" x14ac:dyDescent="0.2">
      <c r="B80" s="30">
        <f>'Plan &amp; profile data'!K33</f>
        <v>30.875268394977763</v>
      </c>
      <c r="C80" s="30">
        <f>'Plan &amp; profile data'!L33</f>
        <v>39.872906384431893</v>
      </c>
    </row>
    <row r="81" spans="1:3" x14ac:dyDescent="0.2">
      <c r="B81" s="30">
        <f>'Plan &amp; profile data'!Q33</f>
        <v>37.7374309565148</v>
      </c>
      <c r="C81" s="30">
        <f>'Plan &amp; profile data'!R33</f>
        <v>33.733771939908692</v>
      </c>
    </row>
    <row r="82" spans="1:3" x14ac:dyDescent="0.2">
      <c r="B82" s="30">
        <f>'Plan &amp; profile data'!W33</f>
        <v>42.710738018448481</v>
      </c>
      <c r="C82" s="30">
        <f>'Plan &amp; profile data'!X33</f>
        <v>26.876084830827278</v>
      </c>
    </row>
    <row r="83" spans="1:3" x14ac:dyDescent="0.2">
      <c r="B83" s="30">
        <f>'Plan &amp; profile data'!AC33</f>
        <v>45.471050236089354</v>
      </c>
      <c r="C83" s="30">
        <f>'Plan &amp; profile data'!AD33</f>
        <v>19.763970943888175</v>
      </c>
    </row>
    <row r="84" spans="1:3" x14ac:dyDescent="0.2">
      <c r="B84" s="30">
        <f>'Plan &amp; profile data'!AI33</f>
        <v>46.08214337963863</v>
      </c>
      <c r="C84" s="30">
        <f>'Plan &amp; profile data'!AJ33</f>
        <v>8.329076093704316</v>
      </c>
    </row>
    <row r="86" spans="1:3" x14ac:dyDescent="0.2">
      <c r="A86" s="27" t="s">
        <v>78</v>
      </c>
      <c r="B86" s="30">
        <f>'Plan &amp; profile data'!E34</f>
        <v>19.20864507426899</v>
      </c>
      <c r="C86" s="30">
        <f>'Plan &amp; profile data'!F34</f>
        <v>44.959997014704314</v>
      </c>
    </row>
    <row r="87" spans="1:3" x14ac:dyDescent="0.2">
      <c r="B87" s="30">
        <f>'Plan &amp; profile data'!K34</f>
        <v>29.985599871710757</v>
      </c>
      <c r="C87" s="30">
        <f>'Plan &amp; profile data'!L34</f>
        <v>39.582355795998659</v>
      </c>
    </row>
    <row r="88" spans="1:3" x14ac:dyDescent="0.2">
      <c r="B88" s="30">
        <f>'Plan &amp; profile data'!Q34</f>
        <v>36.613030750147573</v>
      </c>
      <c r="C88" s="30">
        <f>'Plan &amp; profile data'!R34</f>
        <v>33.400992970903516</v>
      </c>
    </row>
    <row r="89" spans="1:3" x14ac:dyDescent="0.2">
      <c r="B89" s="30">
        <f>'Plan &amp; profile data'!W34</f>
        <v>41.410146824222764</v>
      </c>
      <c r="C89" s="30">
        <f>'Plan &amp; profile data'!X34</f>
        <v>26.549614796362004</v>
      </c>
    </row>
    <row r="90" spans="1:3" x14ac:dyDescent="0.2">
      <c r="B90" s="30">
        <f>'Plan &amp; profile data'!AC34</f>
        <v>44.049243344107936</v>
      </c>
      <c r="C90" s="30">
        <f>'Plan &amp; profile data'!AD34</f>
        <v>19.443929164938758</v>
      </c>
    </row>
    <row r="91" spans="1:3" x14ac:dyDescent="0.2">
      <c r="B91" s="30">
        <f>'Plan &amp; profile data'!AI34</f>
        <v>44.435184864106866</v>
      </c>
      <c r="C91" s="30">
        <f>'Plan &amp; profile data'!AJ34</f>
        <v>8.0196498797963613</v>
      </c>
    </row>
    <row r="92" spans="1:3" x14ac:dyDescent="0.2">
      <c r="B92" s="30"/>
      <c r="C92" s="30"/>
    </row>
    <row r="93" spans="1:3" x14ac:dyDescent="0.2">
      <c r="A93" s="27" t="s">
        <v>79</v>
      </c>
      <c r="B93" s="30">
        <f>'Plan &amp; profile data'!E35</f>
        <v>18.215605372452902</v>
      </c>
      <c r="C93" s="30">
        <f>'Plan &amp; profile data'!F35</f>
        <v>44.734984886312887</v>
      </c>
    </row>
    <row r="94" spans="1:3" x14ac:dyDescent="0.2">
      <c r="B94" s="30">
        <f>'Plan &amp; profile data'!K35</f>
        <v>28.507522119649263</v>
      </c>
      <c r="C94" s="30">
        <f>'Plan &amp; profile data'!L35</f>
        <v>39.100253777913871</v>
      </c>
    </row>
    <row r="95" spans="1:3" x14ac:dyDescent="0.2">
      <c r="B95" s="30">
        <f>'Plan &amp; profile data'!Q35</f>
        <v>34.783190216670732</v>
      </c>
      <c r="C95" s="30">
        <f>'Plan &amp; profile data'!R35</f>
        <v>32.860479678132705</v>
      </c>
    </row>
    <row r="96" spans="1:3" x14ac:dyDescent="0.2">
      <c r="B96" s="30">
        <f>'Plan &amp; profile data'!W35</f>
        <v>39.325522857150375</v>
      </c>
      <c r="C96" s="30">
        <f>'Plan &amp; profile data'!X35</f>
        <v>26.027662501768429</v>
      </c>
    </row>
    <row r="97" spans="1:3" x14ac:dyDescent="0.2">
      <c r="B97" s="30">
        <f>'Plan &amp; profile data'!AC35</f>
        <v>41.805466850903258</v>
      </c>
      <c r="C97" s="30">
        <f>'Plan &amp; profile data'!AD35</f>
        <v>18.940332997565342</v>
      </c>
    </row>
    <row r="98" spans="1:3" x14ac:dyDescent="0.2">
      <c r="B98" s="30">
        <f>'Plan &amp; profile data'!AI35</f>
        <v>41.947033470355102</v>
      </c>
      <c r="C98" s="30">
        <f>'Plan &amp; profile data'!AJ35</f>
        <v>7.5537720267675468</v>
      </c>
    </row>
    <row r="99" spans="1:3" x14ac:dyDescent="0.2">
      <c r="B99" s="30"/>
      <c r="C99" s="30"/>
    </row>
    <row r="100" spans="1:3" x14ac:dyDescent="0.2">
      <c r="A100" s="27" t="s">
        <v>80</v>
      </c>
      <c r="B100" s="30">
        <f>'Plan &amp; profile data'!E36</f>
        <v>16.824000355656782</v>
      </c>
      <c r="C100" s="30">
        <f>'Plan &amp; profile data'!F36</f>
        <v>44.419952230512209</v>
      </c>
    </row>
    <row r="101" spans="1:3" x14ac:dyDescent="0.2">
      <c r="B101" s="30">
        <f>'Plan &amp; profile data'!K36</f>
        <v>26.437887930957924</v>
      </c>
      <c r="C101" s="30">
        <f>'Plan &amp; profile data'!L36</f>
        <v>38.426491661982503</v>
      </c>
    </row>
    <row r="102" spans="1:3" x14ac:dyDescent="0.2">
      <c r="B102" s="30">
        <f>'Plan &amp; profile data'!Q36</f>
        <v>32.242307135490364</v>
      </c>
      <c r="C102" s="30">
        <f>'Plan &amp; profile data'!R36</f>
        <v>32.112088770714635</v>
      </c>
    </row>
    <row r="103" spans="1:3" x14ac:dyDescent="0.2">
      <c r="B103" s="30">
        <f>'Plan &amp; profile data'!W36</f>
        <v>36.448981049915304</v>
      </c>
      <c r="C103" s="30">
        <f>'Plan &amp; profile data'!X36</f>
        <v>25.31010542079208</v>
      </c>
    </row>
    <row r="104" spans="1:3" x14ac:dyDescent="0.2">
      <c r="B104" s="30">
        <f>'Plan &amp; profile data'!AC36</f>
        <v>38.730393037693943</v>
      </c>
      <c r="C104" s="30">
        <f>'Plan &amp; profile data'!AD36</f>
        <v>18.253078213688291</v>
      </c>
    </row>
    <row r="105" spans="1:3" x14ac:dyDescent="0.2">
      <c r="B105" s="30">
        <f>'Plan &amp; profile data'!AI36</f>
        <v>38.606864846637784</v>
      </c>
      <c r="C105" s="30">
        <f>'Plan &amp; profile data'!AJ36</f>
        <v>6.9313724889411787</v>
      </c>
    </row>
    <row r="106" spans="1:3" x14ac:dyDescent="0.2">
      <c r="B106" s="30"/>
      <c r="C106" s="30"/>
    </row>
    <row r="107" spans="1:3" x14ac:dyDescent="0.2">
      <c r="A107" s="27" t="s">
        <v>81</v>
      </c>
      <c r="B107" s="30">
        <f>'Plan &amp; profile data'!E37</f>
        <v>15.032472710356561</v>
      </c>
      <c r="C107" s="30">
        <f>'Plan &amp; profile data'!F37</f>
        <v>44.014883366567702</v>
      </c>
    </row>
    <row r="108" spans="1:3" x14ac:dyDescent="0.2">
      <c r="B108" s="30">
        <f>'Plan &amp; profile data'!K37</f>
        <v>23.772252663907249</v>
      </c>
      <c r="C108" s="30">
        <f>'Plan &amp; profile data'!L37</f>
        <v>37.560917441105424</v>
      </c>
    </row>
    <row r="109" spans="1:3" x14ac:dyDescent="0.2">
      <c r="B109" s="30">
        <f>'Plan &amp; profile data'!Q37</f>
        <v>28.982503449425508</v>
      </c>
      <c r="C109" s="30">
        <f>'Plan &amp; profile data'!R37</f>
        <v>31.155621631441463</v>
      </c>
    </row>
    <row r="110" spans="1:3" x14ac:dyDescent="0.2">
      <c r="B110" s="30">
        <f>'Plan &amp; profile data'!W37</f>
        <v>32.76946610116552</v>
      </c>
      <c r="C110" s="30">
        <f>'Plan &amp; profile data'!X37</f>
        <v>24.39677494250169</v>
      </c>
    </row>
    <row r="111" spans="1:3" x14ac:dyDescent="0.2">
      <c r="B111" s="30">
        <f>'Plan &amp; profile data'!AC37</f>
        <v>34.811007335739191</v>
      </c>
      <c r="C111" s="30">
        <f>'Plan &amp; profile data'!AD37</f>
        <v>17.382022446473506</v>
      </c>
    </row>
    <row r="112" spans="1:3" x14ac:dyDescent="0.2">
      <c r="B112" s="30">
        <f>'Plan &amp; profile data'!AI37</f>
        <v>34.399853609884524</v>
      </c>
      <c r="C112" s="30">
        <f>'Plan &amp; profile data'!AJ37</f>
        <v>6.1523576220238283</v>
      </c>
    </row>
    <row r="113" spans="1:3" x14ac:dyDescent="0.2">
      <c r="A113" s="27"/>
    </row>
    <row r="114" spans="1:3" x14ac:dyDescent="0.2">
      <c r="A114" s="27" t="s">
        <v>82</v>
      </c>
      <c r="B114" s="30">
        <f>'Plan &amp; profile data'!E38</f>
        <v>12.839265962324081</v>
      </c>
      <c r="C114" s="30">
        <f>'Plan &amp; profile data'!F38</f>
        <v>43.519758126844536</v>
      </c>
    </row>
    <row r="115" spans="1:3" x14ac:dyDescent="0.2">
      <c r="B115" s="30">
        <f>'Plan &amp; profile data'!K38</f>
        <v>20.50482583290319</v>
      </c>
      <c r="C115" s="30">
        <f>'Plan &amp; profile data'!L38</f>
        <v>36.503335597547697</v>
      </c>
    </row>
    <row r="116" spans="1:3" x14ac:dyDescent="0.2">
      <c r="B116" s="30">
        <f>'Plan &amp; profile data'!Q38</f>
        <v>24.993500513564527</v>
      </c>
      <c r="C116" s="30">
        <f>'Plan &amp; profile data'!R38</f>
        <v>29.990824052733714</v>
      </c>
    </row>
    <row r="117" spans="1:3" x14ac:dyDescent="0.2">
      <c r="B117" s="30">
        <f>'Plan &amp; profile data'!W38</f>
        <v>28.27253422415852</v>
      </c>
      <c r="C117" s="30">
        <f>'Plan &amp; profile data'!X38</f>
        <v>23.287456172853364</v>
      </c>
    </row>
    <row r="118" spans="1:3" x14ac:dyDescent="0.2">
      <c r="B118" s="30">
        <f>'Plan &amp; profile data'!AC38</f>
        <v>30.03032437030356</v>
      </c>
      <c r="C118" s="30">
        <f>'Plan &amp; profile data'!AD38</f>
        <v>16.326985042645497</v>
      </c>
    </row>
    <row r="119" spans="1:3" x14ac:dyDescent="0.2">
      <c r="B119" s="30">
        <f>'Plan &amp; profile data'!AI38</f>
        <v>29.306832529621822</v>
      </c>
      <c r="C119" s="30">
        <f>'Plan &amp; profile data'!AJ38</f>
        <v>5.2166101125708337</v>
      </c>
    </row>
    <row r="120" spans="1:3" x14ac:dyDescent="0.2">
      <c r="B120" s="30"/>
      <c r="C120" s="30"/>
    </row>
    <row r="121" spans="1:3" x14ac:dyDescent="0.2">
      <c r="A121" s="27" t="s">
        <v>83</v>
      </c>
      <c r="B121" s="30">
        <f>'Plan &amp; profile data'!E39</f>
        <v>10.242215780459848</v>
      </c>
      <c r="C121" s="30">
        <f>'Plan &amp; profile data'!F39</f>
        <v>42.93455185178631</v>
      </c>
    </row>
    <row r="122" spans="1:3" x14ac:dyDescent="0.2">
      <c r="B122" s="30">
        <f>'Plan &amp; profile data'!K39</f>
        <v>16.628406833453266</v>
      </c>
      <c r="C122" s="30">
        <f>'Plan &amp; profile data'!L39</f>
        <v>35.253506881606221</v>
      </c>
    </row>
    <row r="123" spans="1:3" x14ac:dyDescent="0.2">
      <c r="B123" s="30">
        <f>'Plan &amp; profile data'!Q39</f>
        <v>20.262451746893362</v>
      </c>
      <c r="C123" s="30">
        <f>'Plan &amp; profile data'!R39</f>
        <v>28.617385897871699</v>
      </c>
    </row>
    <row r="124" spans="1:3" x14ac:dyDescent="0.2">
      <c r="B124" s="30">
        <f>'Plan &amp; profile data'!W39</f>
        <v>22.940057898071316</v>
      </c>
      <c r="C124" s="30">
        <f>'Plan &amp; profile data'!X39</f>
        <v>21.981887681235332</v>
      </c>
    </row>
    <row r="125" spans="1:3" x14ac:dyDescent="0.2">
      <c r="B125" s="30">
        <f>'Plan &amp; profile data'!AC39</f>
        <v>24.367002675558751</v>
      </c>
      <c r="C125" s="30">
        <f>'Plan &amp; profile data'!AD39</f>
        <v>15.087746874718102</v>
      </c>
    </row>
    <row r="126" spans="1:3" x14ac:dyDescent="0.2">
      <c r="B126" s="30">
        <f>'Plan &amp; profile data'!AI39</f>
        <v>23.303832640663352</v>
      </c>
      <c r="C126" s="30">
        <f>'Plan &amp; profile data'!AJ39</f>
        <v>4.1239888894911019</v>
      </c>
    </row>
    <row r="127" spans="1:3" x14ac:dyDescent="0.2">
      <c r="B127" s="30"/>
      <c r="C127" s="30"/>
    </row>
    <row r="128" spans="1:3" x14ac:dyDescent="0.2">
      <c r="A128" s="27" t="s">
        <v>84</v>
      </c>
      <c r="B128" s="30">
        <f>'Plan &amp; profile data'!E40</f>
        <v>7.238739145198398</v>
      </c>
      <c r="C128" s="30">
        <f>'Plan &amp; profile data'!F40</f>
        <v>42.259235383765954</v>
      </c>
    </row>
    <row r="129" spans="2:3" x14ac:dyDescent="0.2">
      <c r="B129" s="30">
        <f>'Plan &amp; profile data'!K40</f>
        <v>12.134303099104965</v>
      </c>
      <c r="C129" s="30">
        <f>'Plan &amp; profile data'!L40</f>
        <v>33.811148040092824</v>
      </c>
    </row>
    <row r="130" spans="2:3" x14ac:dyDescent="0.2">
      <c r="B130" s="30">
        <f>'Plan &amp; profile data'!Q40</f>
        <v>14.773726114608849</v>
      </c>
      <c r="C130" s="30">
        <f>'Plan &amp; profile data'!R40</f>
        <v>27.034940686453282</v>
      </c>
    </row>
    <row r="131" spans="2:3" x14ac:dyDescent="0.2">
      <c r="B131" s="30">
        <f>'Plan &amp; profile data'!W40</f>
        <v>16.749838942291333</v>
      </c>
      <c r="C131" s="30">
        <f>'Plan &amp; profile data'!X40</f>
        <v>20.479761191290219</v>
      </c>
    </row>
    <row r="132" spans="2:3" x14ac:dyDescent="0.2">
      <c r="B132" s="30">
        <f>'Plan &amp; profile data'!AC40</f>
        <v>17.794836717653766</v>
      </c>
      <c r="C132" s="30">
        <f>'Plan &amp; profile data'!AD40</f>
        <v>13.664050112686761</v>
      </c>
    </row>
    <row r="133" spans="2:3" x14ac:dyDescent="0.2">
      <c r="B133" s="30">
        <f>'Plan &amp; profile data'!AI40</f>
        <v>16.36147716371044</v>
      </c>
      <c r="C133" s="30">
        <f>'Plan &amp; profile data'!AJ40</f>
        <v>2.8743290174365939</v>
      </c>
    </row>
    <row r="134" spans="2:3" x14ac:dyDescent="0.2">
      <c r="B134" s="30"/>
    </row>
    <row r="135" spans="2:3" x14ac:dyDescent="0.2">
      <c r="B135" s="30"/>
    </row>
    <row r="136" spans="2:3" x14ac:dyDescent="0.2">
      <c r="B136" s="30"/>
    </row>
    <row r="137" spans="2:3" x14ac:dyDescent="0.2">
      <c r="B137" s="30"/>
    </row>
    <row r="138" spans="2:3" x14ac:dyDescent="0.2">
      <c r="B138" s="30"/>
    </row>
    <row r="139" spans="2:3" x14ac:dyDescent="0.2">
      <c r="B139" s="30"/>
    </row>
    <row r="140" spans="2:3" x14ac:dyDescent="0.2">
      <c r="B140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E24" sqref="E24"/>
    </sheetView>
  </sheetViews>
  <sheetFormatPr defaultColWidth="11" defaultRowHeight="12.6" x14ac:dyDescent="0.2"/>
  <cols>
    <col min="1" max="6" width="11" customWidth="1"/>
    <col min="7" max="7" width="5.26953125" customWidth="1"/>
  </cols>
  <sheetData>
    <row r="1" spans="1:9" x14ac:dyDescent="0.2">
      <c r="E1" t="s">
        <v>48</v>
      </c>
    </row>
    <row r="2" spans="1:9" ht="17.399999999999999" x14ac:dyDescent="0.3">
      <c r="B2" s="19">
        <v>2.5</v>
      </c>
      <c r="C2" s="16" t="s">
        <v>35</v>
      </c>
      <c r="D2" s="4">
        <f>B2*96</f>
        <v>240</v>
      </c>
      <c r="E2" s="9">
        <f>E3/25.4</f>
        <v>3.1496062992125986</v>
      </c>
      <c r="F2" s="15">
        <f>D2-E2</f>
        <v>236.85039370078741</v>
      </c>
      <c r="G2" t="s">
        <v>47</v>
      </c>
      <c r="I2" s="1"/>
    </row>
    <row r="3" spans="1:9" x14ac:dyDescent="0.2">
      <c r="B3">
        <v>4</v>
      </c>
      <c r="C3" t="s">
        <v>34</v>
      </c>
      <c r="E3" s="1">
        <f>B3*10*2</f>
        <v>80</v>
      </c>
      <c r="I3" s="1"/>
    </row>
    <row r="4" spans="1:9" x14ac:dyDescent="0.2">
      <c r="E4" s="1"/>
      <c r="I4" s="1"/>
    </row>
    <row r="5" spans="1:9" ht="17.399999999999999" x14ac:dyDescent="0.3">
      <c r="A5" s="16" t="s">
        <v>0</v>
      </c>
      <c r="E5" s="1"/>
      <c r="I5" s="1"/>
    </row>
    <row r="6" spans="1:9" x14ac:dyDescent="0.2">
      <c r="F6" t="s">
        <v>41</v>
      </c>
      <c r="H6" s="1" t="s">
        <v>12</v>
      </c>
      <c r="I6" s="1" t="s">
        <v>14</v>
      </c>
    </row>
    <row r="7" spans="1:9" ht="19.8" x14ac:dyDescent="0.35">
      <c r="A7" t="s">
        <v>40</v>
      </c>
      <c r="E7" s="14" t="s">
        <v>32</v>
      </c>
      <c r="F7" s="21">
        <v>228</v>
      </c>
      <c r="H7" s="3">
        <f>F7/12</f>
        <v>19</v>
      </c>
      <c r="I7" s="4">
        <f>F7*2.54</f>
        <v>579.12</v>
      </c>
    </row>
    <row r="8" spans="1:9" x14ac:dyDescent="0.2">
      <c r="E8" s="14"/>
      <c r="F8" s="1"/>
      <c r="H8" s="3">
        <f>H7-3*4.5</f>
        <v>5.5</v>
      </c>
      <c r="I8" s="1" t="s">
        <v>39</v>
      </c>
    </row>
    <row r="9" spans="1:9" x14ac:dyDescent="0.2">
      <c r="A9" t="s">
        <v>31</v>
      </c>
      <c r="E9" s="14" t="s">
        <v>30</v>
      </c>
      <c r="F9" s="1">
        <v>24</v>
      </c>
      <c r="H9" s="1"/>
      <c r="I9" s="1"/>
    </row>
    <row r="10" spans="1:9" x14ac:dyDescent="0.2">
      <c r="A10" t="s">
        <v>29</v>
      </c>
      <c r="E10" s="14" t="s">
        <v>38</v>
      </c>
      <c r="F10" s="1">
        <f>F9*2*2.54</f>
        <v>121.92</v>
      </c>
      <c r="G10" s="7" t="s">
        <v>28</v>
      </c>
      <c r="H10" s="1"/>
      <c r="I10" s="1"/>
    </row>
    <row r="11" spans="1:9" x14ac:dyDescent="0.2">
      <c r="A11" t="s">
        <v>27</v>
      </c>
      <c r="E11" t="s">
        <v>26</v>
      </c>
      <c r="F11" s="6">
        <f>F9/2+(F7^2)/8/F9</f>
        <v>282.75</v>
      </c>
      <c r="H11" s="1"/>
      <c r="I11" s="1"/>
    </row>
    <row r="12" spans="1:9" x14ac:dyDescent="0.2">
      <c r="F12" s="6"/>
      <c r="H12" s="1"/>
      <c r="I12" s="1"/>
    </row>
    <row r="13" spans="1:9" x14ac:dyDescent="0.2">
      <c r="A13" t="s">
        <v>37</v>
      </c>
      <c r="F13" s="11">
        <f>2*ACOS((F11-F9)/F11)</f>
        <v>0.82998490574081041</v>
      </c>
      <c r="H13" s="1"/>
      <c r="I13" s="1"/>
    </row>
    <row r="14" spans="1:9" x14ac:dyDescent="0.2">
      <c r="A14" t="s">
        <v>36</v>
      </c>
      <c r="E14" t="s">
        <v>25</v>
      </c>
      <c r="F14" s="9">
        <f>F13*F11</f>
        <v>234.67823209821415</v>
      </c>
      <c r="G14" s="18"/>
      <c r="H14" s="17">
        <f>F14/12</f>
        <v>19.556519341517845</v>
      </c>
      <c r="I14" s="1"/>
    </row>
    <row r="15" spans="1:9" x14ac:dyDescent="0.2">
      <c r="E15" t="s">
        <v>24</v>
      </c>
      <c r="F15" s="20">
        <f>$F$2-F14</f>
        <v>2.1721616025732544</v>
      </c>
      <c r="H15" s="17"/>
      <c r="I15" s="1"/>
    </row>
    <row r="16" spans="1:9" x14ac:dyDescent="0.2">
      <c r="A16" t="s">
        <v>45</v>
      </c>
      <c r="F16" s="1"/>
      <c r="H16" s="1"/>
      <c r="I16" s="1"/>
    </row>
    <row r="17" spans="1:13" x14ac:dyDescent="0.2">
      <c r="F17" s="1"/>
      <c r="H17" s="1"/>
      <c r="I17" s="1"/>
    </row>
    <row r="18" spans="1:13" ht="24.6" x14ac:dyDescent="0.4">
      <c r="A18" s="42" t="s">
        <v>7</v>
      </c>
      <c r="B18" s="42"/>
      <c r="C18" s="42"/>
      <c r="D18" s="42"/>
      <c r="F18" s="1"/>
      <c r="H18" s="1"/>
      <c r="I18" s="1"/>
    </row>
    <row r="19" spans="1:13" x14ac:dyDescent="0.2">
      <c r="A19" t="s">
        <v>1</v>
      </c>
      <c r="F19" s="1"/>
      <c r="H19" s="1"/>
      <c r="I19" s="1"/>
    </row>
    <row r="20" spans="1:13" x14ac:dyDescent="0.2">
      <c r="A20" t="s">
        <v>2</v>
      </c>
      <c r="F20" s="1"/>
      <c r="H20" s="1"/>
      <c r="I20" s="1"/>
    </row>
    <row r="21" spans="1:13" ht="17.399999999999999" x14ac:dyDescent="0.3">
      <c r="A21" t="s">
        <v>46</v>
      </c>
      <c r="F21" s="1"/>
      <c r="H21" s="16"/>
      <c r="I21" s="1"/>
      <c r="J21" s="25"/>
    </row>
    <row r="22" spans="1:13" x14ac:dyDescent="0.2">
      <c r="F22" s="1"/>
      <c r="H22" s="1"/>
      <c r="I22" s="1"/>
    </row>
    <row r="23" spans="1:13" ht="17.399999999999999" x14ac:dyDescent="0.3">
      <c r="B23" s="19">
        <v>2.5</v>
      </c>
      <c r="C23" s="16" t="s">
        <v>35</v>
      </c>
      <c r="D23" s="4">
        <f>B23*96</f>
        <v>240</v>
      </c>
      <c r="E23" s="9">
        <f>E24/25.4</f>
        <v>3.1496062992125986</v>
      </c>
      <c r="F23" s="15">
        <f>D23-E23</f>
        <v>236.85039370078741</v>
      </c>
      <c r="I23" s="1"/>
    </row>
    <row r="24" spans="1:13" x14ac:dyDescent="0.2">
      <c r="B24">
        <v>4</v>
      </c>
      <c r="C24" t="s">
        <v>34</v>
      </c>
      <c r="E24" s="1">
        <f>B24*10*2</f>
        <v>80</v>
      </c>
      <c r="I24" s="1"/>
    </row>
    <row r="25" spans="1:13" x14ac:dyDescent="0.2">
      <c r="F25" t="s">
        <v>41</v>
      </c>
      <c r="H25" s="1" t="s">
        <v>12</v>
      </c>
      <c r="I25" s="1" t="s">
        <v>14</v>
      </c>
    </row>
    <row r="26" spans="1:13" ht="19.8" x14ac:dyDescent="0.35">
      <c r="A26" t="s">
        <v>40</v>
      </c>
      <c r="E26" s="14" t="s">
        <v>32</v>
      </c>
      <c r="F26" s="21">
        <v>232.3</v>
      </c>
      <c r="H26" s="23">
        <f>F26/12</f>
        <v>19.358333333333334</v>
      </c>
      <c r="I26" s="21">
        <f>F26*2.54</f>
        <v>590.04200000000003</v>
      </c>
      <c r="M26">
        <f>F26/12</f>
        <v>19.358333333333334</v>
      </c>
    </row>
    <row r="27" spans="1:13" x14ac:dyDescent="0.2">
      <c r="E27" s="14"/>
      <c r="F27" s="1"/>
      <c r="H27" s="3">
        <f>H26-3*4.5</f>
        <v>5.8583333333333343</v>
      </c>
      <c r="I27" s="1" t="s">
        <v>39</v>
      </c>
      <c r="M27">
        <f>M26-19</f>
        <v>0.35833333333333428</v>
      </c>
    </row>
    <row r="28" spans="1:13" x14ac:dyDescent="0.2">
      <c r="A28" t="s">
        <v>31</v>
      </c>
      <c r="E28" s="14" t="s">
        <v>30</v>
      </c>
      <c r="F28" s="1">
        <v>12</v>
      </c>
      <c r="H28" s="1"/>
      <c r="I28" s="1"/>
      <c r="M28">
        <f>M27*12</f>
        <v>4.3000000000000114</v>
      </c>
    </row>
    <row r="29" spans="1:13" x14ac:dyDescent="0.2">
      <c r="A29" t="s">
        <v>29</v>
      </c>
      <c r="E29" s="14" t="s">
        <v>38</v>
      </c>
      <c r="F29" s="1">
        <f>F28*2*2.54</f>
        <v>60.96</v>
      </c>
      <c r="G29" s="7" t="s">
        <v>28</v>
      </c>
      <c r="H29" s="1"/>
      <c r="I29" s="1"/>
    </row>
    <row r="30" spans="1:13" x14ac:dyDescent="0.2">
      <c r="A30" t="s">
        <v>27</v>
      </c>
      <c r="E30" t="s">
        <v>26</v>
      </c>
      <c r="F30" s="6">
        <f>F28/2+(F26^2)/8/F28</f>
        <v>568.11760416666675</v>
      </c>
      <c r="H30" s="1"/>
      <c r="I30" s="1"/>
    </row>
    <row r="31" spans="1:13" ht="17.399999999999999" x14ac:dyDescent="0.3">
      <c r="F31" s="6"/>
      <c r="H31" s="16" t="s">
        <v>8</v>
      </c>
      <c r="I31" s="1"/>
      <c r="J31" s="25">
        <f>F26-F7</f>
        <v>4.3000000000000114</v>
      </c>
      <c r="K31" t="s">
        <v>33</v>
      </c>
    </row>
    <row r="32" spans="1:13" x14ac:dyDescent="0.2">
      <c r="A32" t="s">
        <v>37</v>
      </c>
      <c r="F32" s="11">
        <f>2*ACOS((F30-F28)/F30)</f>
        <v>0.41179769879933126</v>
      </c>
      <c r="H32" s="1"/>
      <c r="I32" s="1"/>
    </row>
    <row r="33" spans="1:9" x14ac:dyDescent="0.2">
      <c r="A33" t="s">
        <v>36</v>
      </c>
      <c r="E33" t="s">
        <v>25</v>
      </c>
      <c r="F33" s="9">
        <f>F32*F30</f>
        <v>233.94952204322274</v>
      </c>
      <c r="G33" s="18"/>
      <c r="H33" s="17"/>
      <c r="I33" s="1"/>
    </row>
    <row r="34" spans="1:9" x14ac:dyDescent="0.2">
      <c r="E34" t="s">
        <v>24</v>
      </c>
      <c r="F34" s="20">
        <f>$F$2-F33</f>
        <v>2.9008716575646645</v>
      </c>
      <c r="H34" s="17"/>
      <c r="I34" s="1"/>
    </row>
    <row r="35" spans="1:9" x14ac:dyDescent="0.2">
      <c r="F35" s="1"/>
      <c r="H35" s="1"/>
      <c r="I35" s="1"/>
    </row>
    <row r="36" spans="1:9" x14ac:dyDescent="0.2">
      <c r="F36" s="1"/>
      <c r="H36" s="1"/>
      <c r="I36" s="1"/>
    </row>
    <row r="37" spans="1:9" x14ac:dyDescent="0.2">
      <c r="F37" s="1"/>
      <c r="H37" s="1"/>
      <c r="I37" s="1"/>
    </row>
    <row r="38" spans="1:9" x14ac:dyDescent="0.2">
      <c r="F38" s="1"/>
      <c r="H38" s="1"/>
      <c r="I38" s="1"/>
    </row>
    <row r="39" spans="1:9" x14ac:dyDescent="0.2">
      <c r="F39" s="1"/>
      <c r="H39" s="1"/>
      <c r="I39" s="1"/>
    </row>
    <row r="40" spans="1:9" x14ac:dyDescent="0.2">
      <c r="F40" s="1"/>
      <c r="H40" s="1"/>
      <c r="I40" s="1"/>
    </row>
    <row r="41" spans="1:9" x14ac:dyDescent="0.2">
      <c r="F41" s="1"/>
      <c r="H41" s="1"/>
      <c r="I41" s="1"/>
    </row>
    <row r="42" spans="1:9" ht="17.399999999999999" x14ac:dyDescent="0.3">
      <c r="A42" s="16"/>
      <c r="B42" s="16"/>
      <c r="C42" s="4"/>
      <c r="D42" s="9"/>
      <c r="E42" s="15"/>
      <c r="F42" s="1"/>
      <c r="H42" s="1"/>
      <c r="I42" s="1"/>
    </row>
    <row r="43" spans="1:9" x14ac:dyDescent="0.2">
      <c r="D43" s="1"/>
      <c r="F43" s="1"/>
      <c r="G43" s="1"/>
    </row>
    <row r="44" spans="1:9" x14ac:dyDescent="0.2">
      <c r="F44" s="1"/>
      <c r="G44" s="1"/>
    </row>
    <row r="45" spans="1:9" x14ac:dyDescent="0.2">
      <c r="E45" s="14"/>
      <c r="F45" s="3"/>
      <c r="G45" s="1"/>
    </row>
    <row r="46" spans="1:9" x14ac:dyDescent="0.2">
      <c r="E46" s="14"/>
      <c r="F46" s="3"/>
      <c r="G46" s="1"/>
    </row>
    <row r="47" spans="1:9" x14ac:dyDescent="0.2">
      <c r="E47" s="14"/>
      <c r="F47" s="1"/>
    </row>
    <row r="48" spans="1:9" x14ac:dyDescent="0.2">
      <c r="E48" s="14"/>
      <c r="F48" s="1"/>
    </row>
    <row r="49" spans="6:8" x14ac:dyDescent="0.2">
      <c r="F49" s="6"/>
      <c r="H49" s="1"/>
    </row>
    <row r="50" spans="6:8" x14ac:dyDescent="0.2">
      <c r="F50" s="6"/>
      <c r="H50" s="1"/>
    </row>
    <row r="51" spans="6:8" x14ac:dyDescent="0.2">
      <c r="F51" s="6"/>
      <c r="H51" s="1"/>
    </row>
    <row r="52" spans="6:8" x14ac:dyDescent="0.2">
      <c r="F52" s="9"/>
      <c r="H52" s="1"/>
    </row>
    <row r="53" spans="6:8" x14ac:dyDescent="0.2">
      <c r="F53" s="6"/>
      <c r="H53" s="1"/>
    </row>
    <row r="54" spans="6:8" x14ac:dyDescent="0.2">
      <c r="H54" s="1"/>
    </row>
  </sheetData>
  <mergeCells count="1">
    <mergeCell ref="A18:D18"/>
  </mergeCells>
  <phoneticPr fontId="5"/>
  <pageMargins left="0.75" right="0.75" top="1" bottom="1" header="0.5" footer="0.5"/>
  <pageSetup paperSize="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Plan &amp; profile data</vt:lpstr>
      <vt:lpstr>OFFSETS</vt:lpstr>
      <vt:lpstr>chord L</vt:lpstr>
      <vt:lpstr>Profile</vt:lpstr>
      <vt:lpstr>nose on</vt:lpstr>
      <vt:lpstr>transom</vt:lpstr>
      <vt:lpstr>Plan view</vt:lpstr>
      <vt:lpstr>stretched Plan</vt:lpstr>
      <vt:lpstr>str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Reiner</dc:creator>
  <cp:lastModifiedBy>Michael</cp:lastModifiedBy>
  <cp:lastPrinted>2016-02-10T04:36:50Z</cp:lastPrinted>
  <dcterms:created xsi:type="dcterms:W3CDTF">2013-12-03T02:44:19Z</dcterms:created>
  <dcterms:modified xsi:type="dcterms:W3CDTF">2016-02-15T17:47:23Z</dcterms:modified>
</cp:coreProperties>
</file>